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RISSE\2020\3- PROJETOS\1 - LAMA ASFALTICA\"/>
    </mc:Choice>
  </mc:AlternateContent>
  <bookViews>
    <workbookView xWindow="0" yWindow="0" windowWidth="20490" windowHeight="7755"/>
  </bookViews>
  <sheets>
    <sheet name="DESCRIÇÃO ÁREAS" sheetId="9" r:id="rId1"/>
    <sheet name="RESUMO DA OBRA" sheetId="4" r:id="rId2"/>
    <sheet name="PLAN. ORÇ. COM DES." sheetId="2" r:id="rId3"/>
    <sheet name="C.F.F." sheetId="5" r:id="rId4"/>
    <sheet name="BDI COM DES." sheetId="6" r:id="rId5"/>
    <sheet name="COMP. LAMA" sheetId="7" r:id="rId6"/>
    <sheet name="COMP. MOBILIZAÇÃO" sheetId="3" r:id="rId7"/>
  </sheets>
  <externalReferences>
    <externalReference r:id="rId8"/>
    <externalReference r:id="rId9"/>
    <externalReference r:id="rId10"/>
  </externalReferences>
  <definedNames>
    <definedName name="_xlnm.Print_Area" localSheetId="3">C.F.F.!$A$1:$J$26</definedName>
    <definedName name="_xlnm.Print_Area" localSheetId="0">'DESCRIÇÃO ÁREAS'!$A$1:$D$72</definedName>
    <definedName name="_xlnm.Print_Area" localSheetId="2">'PLAN. ORÇ. COM DES.'!$A$2:$H$27</definedName>
    <definedName name="_xlnm.Print_Area" localSheetId="1">'RESUMO DA OBRA'!$A$1:$D$21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9" l="1"/>
  <c r="B12" i="5" l="1"/>
  <c r="B38" i="9" l="1"/>
  <c r="B61" i="9"/>
  <c r="H13" i="2" l="1"/>
  <c r="C67" i="9" l="1"/>
  <c r="G25" i="3" l="1"/>
  <c r="G26" i="3"/>
  <c r="G27" i="3"/>
  <c r="G28" i="3"/>
  <c r="G24" i="3"/>
  <c r="B24" i="9" l="1"/>
  <c r="B37" i="9"/>
  <c r="B62" i="9" l="1"/>
  <c r="B54" i="9"/>
  <c r="B44" i="9" l="1"/>
  <c r="B43" i="9"/>
  <c r="B45" i="9"/>
  <c r="B42" i="9"/>
  <c r="B18" i="9" l="1"/>
  <c r="B17" i="9"/>
  <c r="B16" i="9"/>
  <c r="B46" i="9"/>
  <c r="B25" i="9"/>
  <c r="B60" i="9"/>
  <c r="B59" i="9"/>
  <c r="B55" i="9"/>
  <c r="B53" i="9"/>
  <c r="B52" i="9"/>
  <c r="B51" i="9"/>
  <c r="B50" i="9"/>
  <c r="B36" i="9"/>
  <c r="B35" i="9"/>
  <c r="B34" i="9"/>
  <c r="B33" i="9"/>
  <c r="B29" i="9"/>
  <c r="B22" i="9"/>
  <c r="B15" i="9"/>
  <c r="B14" i="9"/>
  <c r="B13" i="9"/>
  <c r="B12" i="9"/>
  <c r="B11" i="9"/>
  <c r="B10" i="9"/>
  <c r="B39" i="9" l="1"/>
  <c r="B63" i="9"/>
  <c r="A26" i="9" l="1"/>
  <c r="A30" i="9" s="1"/>
  <c r="A39" i="9" s="1"/>
  <c r="A47" i="9" s="1"/>
  <c r="A56" i="9" s="1"/>
  <c r="A63" i="9" s="1"/>
  <c r="B30" i="9"/>
  <c r="B26" i="9"/>
  <c r="A3" i="9"/>
  <c r="B19" i="9" l="1"/>
  <c r="B47" i="9"/>
  <c r="B56" i="9"/>
  <c r="B14" i="5"/>
  <c r="B32" i="3"/>
  <c r="A27" i="7"/>
  <c r="H14" i="2"/>
  <c r="G14" i="2"/>
  <c r="G13" i="2"/>
  <c r="H14" i="7"/>
  <c r="E17" i="2" l="1"/>
  <c r="H22" i="7"/>
  <c r="H23" i="7" s="1"/>
  <c r="H19" i="7"/>
  <c r="H18" i="7"/>
  <c r="H17" i="7"/>
  <c r="H16" i="7"/>
  <c r="H15" i="7"/>
  <c r="F3" i="3"/>
  <c r="F4" i="3"/>
  <c r="A18" i="4"/>
  <c r="A26" i="6"/>
  <c r="A7" i="6"/>
  <c r="A6" i="6"/>
  <c r="A5" i="6"/>
  <c r="A21" i="5"/>
  <c r="B13" i="4"/>
  <c r="B12" i="4"/>
  <c r="A7" i="4"/>
  <c r="B2" i="4"/>
  <c r="H20" i="7" l="1"/>
  <c r="H24" i="7" s="1"/>
  <c r="H25" i="7" s="1"/>
  <c r="J28" i="3"/>
  <c r="B28" i="3"/>
  <c r="A28" i="3"/>
  <c r="J27" i="3"/>
  <c r="B27" i="3"/>
  <c r="A27" i="3"/>
  <c r="J26" i="3"/>
  <c r="A26" i="3"/>
  <c r="J25" i="3"/>
  <c r="B25" i="3"/>
  <c r="A25" i="3"/>
  <c r="J24" i="3"/>
  <c r="B24" i="3"/>
  <c r="A24" i="3"/>
  <c r="G18" i="3"/>
  <c r="J18" i="3" s="1"/>
  <c r="J19" i="3" s="1"/>
  <c r="B18" i="3"/>
  <c r="A18" i="3"/>
  <c r="J13" i="3"/>
  <c r="J12" i="3"/>
  <c r="J11" i="3"/>
  <c r="J10" i="3"/>
  <c r="G17" i="2"/>
  <c r="G18" i="2"/>
  <c r="D18" i="2"/>
  <c r="J14" i="3" l="1"/>
  <c r="E18" i="2"/>
  <c r="H18" i="2" s="1"/>
  <c r="J29" i="3"/>
  <c r="J30" i="3" s="1"/>
  <c r="F15" i="2" s="1"/>
  <c r="G15" i="2" l="1"/>
  <c r="H15" i="2" s="1"/>
  <c r="H12" i="2" s="1"/>
  <c r="H17" i="2"/>
  <c r="H16" i="2" s="1"/>
  <c r="D13" i="4" s="1"/>
  <c r="C12" i="5" l="1"/>
  <c r="D12" i="4"/>
  <c r="H20" i="2"/>
  <c r="C14" i="5"/>
  <c r="D15" i="4"/>
  <c r="J15" i="5" l="1"/>
  <c r="I15" i="5"/>
  <c r="F13" i="5"/>
  <c r="J13" i="5"/>
  <c r="I13" i="5"/>
  <c r="H13" i="5"/>
  <c r="G13" i="5"/>
  <c r="E13" i="5"/>
  <c r="C17" i="5"/>
  <c r="C13" i="4"/>
  <c r="E15" i="5"/>
  <c r="H15" i="5"/>
  <c r="H17" i="5" s="1"/>
  <c r="G15" i="5"/>
  <c r="F15" i="5"/>
  <c r="J17" i="5" l="1"/>
  <c r="J19" i="5" s="1"/>
  <c r="F17" i="5"/>
  <c r="F19" i="5" s="1"/>
  <c r="I17" i="5"/>
  <c r="I19" i="5" s="1"/>
  <c r="G17" i="5"/>
  <c r="G19" i="5" s="1"/>
  <c r="C12" i="4"/>
  <c r="C15" i="4" s="1"/>
  <c r="E17" i="5"/>
  <c r="E19" i="5" s="1"/>
  <c r="H19" i="5"/>
  <c r="E18" i="5" l="1"/>
  <c r="F18" i="5" s="1"/>
  <c r="G18" i="5" s="1"/>
  <c r="H18" i="5" s="1"/>
  <c r="I18" i="5" s="1"/>
  <c r="J18" i="5" s="1"/>
</calcChain>
</file>

<file path=xl/sharedStrings.xml><?xml version="1.0" encoding="utf-8"?>
<sst xmlns="http://schemas.openxmlformats.org/spreadsheetml/2006/main" count="367" uniqueCount="265">
  <si>
    <t>PLANILHA DE ÁREAS E COORDENADAS</t>
  </si>
  <si>
    <t>LOCAL: RUAS E AVENIDAS DO PERÍMETRO URBANO</t>
  </si>
  <si>
    <t>MUNICÍPIO: ÁGUA BOA - MT</t>
  </si>
  <si>
    <t xml:space="preserve">Descrição das ruas </t>
  </si>
  <si>
    <t>Ruas</t>
  </si>
  <si>
    <t>Área (m²)</t>
  </si>
  <si>
    <t>Coordenada Início Latitude/Longitude</t>
  </si>
  <si>
    <t>Coordenada Fim Latitude/Longitude</t>
  </si>
  <si>
    <t>Mapa 01 - CENTRO</t>
  </si>
  <si>
    <t>RUA 09</t>
  </si>
  <si>
    <t>RUA 10 A</t>
  </si>
  <si>
    <t>RUA 4 B</t>
  </si>
  <si>
    <t>RUA 52</t>
  </si>
  <si>
    <t>RUA 54</t>
  </si>
  <si>
    <t>RUA 49</t>
  </si>
  <si>
    <t>RUA 41 PL</t>
  </si>
  <si>
    <t>RUA 37 PL</t>
  </si>
  <si>
    <t>14°03'43.1"S 52°09'38.1"W</t>
  </si>
  <si>
    <t>14°03'55.6"S 52°09'41.9"W</t>
  </si>
  <si>
    <t>14°04'00.6"S 52°09'30.3"W</t>
  </si>
  <si>
    <t>14°03'58.7"S 52°09'36.7"W</t>
  </si>
  <si>
    <t>14°03'58.1"S 52°09'29.7"W</t>
  </si>
  <si>
    <t>14°03'56.5"S 52°09'40.4"W</t>
  </si>
  <si>
    <t>14°03'55.5"S 52°09'29.1"W</t>
  </si>
  <si>
    <t>14°03'53.8"S 52°09'33.0"W</t>
  </si>
  <si>
    <t>14°03'54.3"S 52°09'40.8"W</t>
  </si>
  <si>
    <t>14°03'52.7"S 52°09'39.2"W</t>
  </si>
  <si>
    <t>14°03'52.3"S 52°09'33.4"W</t>
  </si>
  <si>
    <t>14°01'47.9"S 52°09'39.0"W</t>
  </si>
  <si>
    <t>14°01'50.2"S 52°09'30.4"W</t>
  </si>
  <si>
    <t>14°01'49.2"S 52°09'42.7"W</t>
  </si>
  <si>
    <t>14°01'53.0"S 52°09'30.2"W</t>
  </si>
  <si>
    <t>14°01'53.7"S 52°09'36.2"W</t>
  </si>
  <si>
    <t>14°01'55.7"S 52°09'36.6"W</t>
  </si>
  <si>
    <t>14°02'04.2"S 52°09'28.3"W</t>
  </si>
  <si>
    <t>14°02'07.6"S 52°09'30.4"W</t>
  </si>
  <si>
    <t>14°04'41.7"S 52°09'56.0"W</t>
  </si>
  <si>
    <t>14°03'43.4"S 52°09'43.3"W</t>
  </si>
  <si>
    <t>14°03'42.8"S 52°10'30.8"W</t>
  </si>
  <si>
    <t>14°03'50.3"S 52°10'29.9"W</t>
  </si>
  <si>
    <t>14°03'46.0"S 52°10'28.0"W</t>
  </si>
  <si>
    <t>14°03'49.9"S 52°10'27.7"W</t>
  </si>
  <si>
    <t>14°03'43.4"S 52°10'27.6"W</t>
  </si>
  <si>
    <t>14°03'45.6"S 52°10'27.3"W</t>
  </si>
  <si>
    <t>14°03'42.3"S 52°10'25.5"W</t>
  </si>
  <si>
    <t>14°03'45.6"S 52°10'25.4"W</t>
  </si>
  <si>
    <t>14°03'46.0"S 52°10'30.2"W</t>
  </si>
  <si>
    <t>14°03'43.5"S 52°10'30.6"W</t>
  </si>
  <si>
    <t>14°03'43.0"S 52°10'25.6"W</t>
  </si>
  <si>
    <t>PREFEITURA MUNICIPAL DE ÁGUA BOA - MT</t>
  </si>
  <si>
    <t xml:space="preserve">FONE: 66 - 3468-6423    </t>
  </si>
  <si>
    <t>OBRA : RECUPERAÇÃO DE PAVIMENTAÇÃO COM APLICAÇÃO DE LAMA ASFÁLTICA (MÃO DE OBRA E EQUIPAMENTOS)</t>
  </si>
  <si>
    <t xml:space="preserve">  </t>
  </si>
  <si>
    <t>BDI=28,35%</t>
  </si>
  <si>
    <t>ITEM</t>
  </si>
  <si>
    <t>FONTE</t>
  </si>
  <si>
    <t>DESCRIÇÃO</t>
  </si>
  <si>
    <t>UND.</t>
  </si>
  <si>
    <t>QUANT.</t>
  </si>
  <si>
    <t>VALOR UNITÁRIO</t>
  </si>
  <si>
    <t>VALOR UNITÁRIO COM BDI</t>
  </si>
  <si>
    <t>VALOR TOTAL COM BDI</t>
  </si>
  <si>
    <t>1.0</t>
  </si>
  <si>
    <t>SERVIÇOS PRELIMINARES</t>
  </si>
  <si>
    <t>1.1</t>
  </si>
  <si>
    <t>M²</t>
  </si>
  <si>
    <t>1.2</t>
  </si>
  <si>
    <t xml:space="preserve">COMP. </t>
  </si>
  <si>
    <t>MOBILIZAÇÃO E DESMOBILIZAÇÃO</t>
  </si>
  <si>
    <t>UND</t>
  </si>
  <si>
    <t>2.0</t>
  </si>
  <si>
    <t>LAMA ASFÁLTICA</t>
  </si>
  <si>
    <t>2.1</t>
  </si>
  <si>
    <t xml:space="preserve">LIMPEZA DE SUPERFÍCIE COM JATO DE ALTA PRESSÃO. </t>
  </si>
  <si>
    <t>2.2</t>
  </si>
  <si>
    <t xml:space="preserve">Lama asfáltica - faixa III - areia e brita comerciais </t>
  </si>
  <si>
    <t>TOTAL GERAL:</t>
  </si>
  <si>
    <t>PLACA DE OBRA (PARA CONSTRUCAO CIVIL) EM CHAPA GALVANIZADA *N. 22*, ADESIVADA, DE *2,0 X 1,125* M</t>
  </si>
  <si>
    <t>E-MAIL: prefeitura@aguaboa.mt.gov.br</t>
  </si>
  <si>
    <t>PREFEITURA MUNICIPAL DE ÁGUA BOA</t>
  </si>
  <si>
    <t>SECRETARIA MUNICIPAL DE INFRAESTRUTUTRA</t>
  </si>
  <si>
    <t>COMPOSIÇÕES</t>
  </si>
  <si>
    <t>MOBILIZAÇÃO DE EQUIPAMENTOS</t>
  </si>
  <si>
    <t>PESSOAL</t>
  </si>
  <si>
    <t>UNIDADE</t>
  </si>
  <si>
    <t>QUANTIDADE</t>
  </si>
  <si>
    <t xml:space="preserve">DMT </t>
  </si>
  <si>
    <t xml:space="preserve">VELOCIDADE </t>
  </si>
  <si>
    <t>HORAS</t>
  </si>
  <si>
    <t>CUSTO</t>
  </si>
  <si>
    <t>CUSTO HORÁRIO</t>
  </si>
  <si>
    <t>CUSTO TOTAL</t>
  </si>
  <si>
    <t>(km)</t>
  </si>
  <si>
    <t>MÉDIA (km/h)</t>
  </si>
  <si>
    <t>(H)</t>
  </si>
  <si>
    <t>R$</t>
  </si>
  <si>
    <t>(R$)</t>
  </si>
  <si>
    <t xml:space="preserve">Códigos </t>
  </si>
  <si>
    <t>Função</t>
  </si>
  <si>
    <t>Passagem</t>
  </si>
  <si>
    <t>Cuiabá/Água Boa</t>
  </si>
  <si>
    <t>T-501</t>
  </si>
  <si>
    <t xml:space="preserve">Encarregado </t>
  </si>
  <si>
    <t>T-302</t>
  </si>
  <si>
    <t>Motorista de caminhão</t>
  </si>
  <si>
    <t>T-313</t>
  </si>
  <si>
    <t>Operador de equipamentos</t>
  </si>
  <si>
    <t>T-701</t>
  </si>
  <si>
    <t>Servente</t>
  </si>
  <si>
    <t>SUB-TOTAL 1</t>
  </si>
  <si>
    <t>VEÍCULOS LEVES E CAMINHÕES COMUNS</t>
  </si>
  <si>
    <t xml:space="preserve">Equipamentos  </t>
  </si>
  <si>
    <t>uni</t>
  </si>
  <si>
    <t>SUB-TOTAL 2</t>
  </si>
  <si>
    <t>EQUIPAMENTOS</t>
  </si>
  <si>
    <t>A9317</t>
  </si>
  <si>
    <t>Vassoura Mecânica - rebocável</t>
  </si>
  <si>
    <t>SUB-TOTAL 3</t>
  </si>
  <si>
    <t>CUSTO DIRETO TOTAL</t>
  </si>
  <si>
    <t>RESUMO</t>
  </si>
  <si>
    <t>%</t>
  </si>
  <si>
    <t xml:space="preserve">VALOR </t>
  </si>
  <si>
    <t>TOTAL:</t>
  </si>
  <si>
    <t>EXECUÇÃO DE DEPÓSITO EM CANTEIRO DE OBRA EM CHAPA DE MADEIRA COMPENSADA, NÃO INCLUSO MOBILIÁRIO.</t>
  </si>
  <si>
    <t>1.3</t>
  </si>
  <si>
    <t>CRONOGRAMA FÍSICO FINANCEIRO DA OBRA</t>
  </si>
  <si>
    <t>SERVIÇOS</t>
  </si>
  <si>
    <t>VALOR</t>
  </si>
  <si>
    <t>MÊS</t>
  </si>
  <si>
    <t>1º</t>
  </si>
  <si>
    <t>2º</t>
  </si>
  <si>
    <t>3º</t>
  </si>
  <si>
    <t>4º</t>
  </si>
  <si>
    <t>TOTAL</t>
  </si>
  <si>
    <t>Mês</t>
  </si>
  <si>
    <t>Acumulado</t>
  </si>
  <si>
    <t>QUADRO DE COMPOSIÇÃO DE B.D.I. DIFERENCIADO</t>
  </si>
  <si>
    <t>(Benefício de Despesas Indiretas)</t>
  </si>
  <si>
    <t>DISCRIMINAÇÃO</t>
  </si>
  <si>
    <t>PERCENTUAL</t>
  </si>
  <si>
    <t>Administração Central</t>
  </si>
  <si>
    <t xml:space="preserve">Despesas Financeiras </t>
  </si>
  <si>
    <t xml:space="preserve">Riscos </t>
  </si>
  <si>
    <t>Seguro+Garantia</t>
  </si>
  <si>
    <t xml:space="preserve">Lucro </t>
  </si>
  <si>
    <t>ISS</t>
  </si>
  <si>
    <t>PIS</t>
  </si>
  <si>
    <t>CONFINS</t>
  </si>
  <si>
    <t>CPRB</t>
  </si>
  <si>
    <t>B.D.I (%)</t>
  </si>
  <si>
    <t>14°03'59.5"S 52°09'48.0"W</t>
  </si>
  <si>
    <t xml:space="preserve">   BDI DIFERENCIADO DA OBRA</t>
  </si>
  <si>
    <t>SISTEMA DE CUSTOS REFERENCIAIS DE OBRAS - SICRO</t>
  </si>
  <si>
    <t>-</t>
  </si>
  <si>
    <t>FIC</t>
  </si>
  <si>
    <t/>
  </si>
  <si>
    <t>Custo Unitário de Referência</t>
  </si>
  <si>
    <t>Produção da equipe</t>
  </si>
  <si>
    <t>m²</t>
  </si>
  <si>
    <t>Valores em reais (R$)</t>
  </si>
  <si>
    <t>A - EQUIPAMENTOS</t>
  </si>
  <si>
    <t>Quantidade</t>
  </si>
  <si>
    <t>Utilização</t>
  </si>
  <si>
    <t>Custo Horário</t>
  </si>
  <si>
    <t>Custo</t>
  </si>
  <si>
    <t>Operativa</t>
  </si>
  <si>
    <t>Improdutiva</t>
  </si>
  <si>
    <t>Produtivo</t>
  </si>
  <si>
    <t>Improdutivo</t>
  </si>
  <si>
    <t>Horário Total</t>
  </si>
  <si>
    <t>E9605</t>
  </si>
  <si>
    <t>Caminhão tanque com capacidade de 6.000 l - 136 kW</t>
  </si>
  <si>
    <t>E9584</t>
  </si>
  <si>
    <t>Carregadeira de pneus com capacidade de 1,53 m³ - 106 kW</t>
  </si>
  <si>
    <t>E9558</t>
  </si>
  <si>
    <t>Tanque de estocagem de asfalto com capacidade de 30.000 l</t>
  </si>
  <si>
    <t>E9577</t>
  </si>
  <si>
    <t>Trator agrícola - 77 kW</t>
  </si>
  <si>
    <t>E9688</t>
  </si>
  <si>
    <t>Usina móvel de lama asfáltica montada sobre chassi com capacidade de 5 m³ - 25 kW/188 kW</t>
  </si>
  <si>
    <t>E9544</t>
  </si>
  <si>
    <t>Vassoura mecânica rebocável</t>
  </si>
  <si>
    <t>Custo horário total de equipamentos</t>
  </si>
  <si>
    <t>B - MÃO DE OBRA</t>
  </si>
  <si>
    <t>Unidade</t>
  </si>
  <si>
    <t>Custo Horário Total</t>
  </si>
  <si>
    <t>P9824</t>
  </si>
  <si>
    <t>h</t>
  </si>
  <si>
    <t>Custo horário total de mão de obra</t>
  </si>
  <si>
    <t>Custo horário total de execução</t>
  </si>
  <si>
    <t>Custo unitário de execução</t>
  </si>
  <si>
    <t>14°04'35.6"S 52°10'15.5"W</t>
  </si>
  <si>
    <t>14°04'36.1"S 52°10'15.5"W</t>
  </si>
  <si>
    <t>ÁGUA BOA - MT, JUNHO DE 2020.</t>
  </si>
  <si>
    <t>REFER.: SICRO I OUT/2019</t>
  </si>
  <si>
    <t>OUTUBRO/2019</t>
  </si>
  <si>
    <t>14°03'29.4"S 52°09'15.2"W</t>
  </si>
  <si>
    <t>14°03'27.5"S 52°08'54.9"W</t>
  </si>
  <si>
    <t>Mapa 02 - INDUSTRIAL</t>
  </si>
  <si>
    <t>Mapa 03 - JARDIM PLANALTO</t>
  </si>
  <si>
    <t>Mapa 06 - VILA NOVA</t>
  </si>
  <si>
    <t>AV. JULIO CAMPOS (L.DIREITO)</t>
  </si>
  <si>
    <t>AV. PLANALTO (L. DIREITO)</t>
  </si>
  <si>
    <t>14°02'05.1"S 52°10'18.4"W</t>
  </si>
  <si>
    <t>14°02'23.8"S 52°09'50.4"W</t>
  </si>
  <si>
    <t>Mapa 04 -SETOR NORTE</t>
  </si>
  <si>
    <t>TRAV. 56/54</t>
  </si>
  <si>
    <t>Mapa 05 -  UNIVERSITÁRIO</t>
  </si>
  <si>
    <t>RUA 4 C</t>
  </si>
  <si>
    <t>RUA 6 A</t>
  </si>
  <si>
    <t>RUA 8 A</t>
  </si>
  <si>
    <t>RUA 02 PL</t>
  </si>
  <si>
    <t>RUA 06 PL</t>
  </si>
  <si>
    <t>RUA 39 PL</t>
  </si>
  <si>
    <t>RUA 43 PL</t>
  </si>
  <si>
    <t>AV. OLIMPICA (L. DIREITO)</t>
  </si>
  <si>
    <t>AV. OLIMPICA (L. ESQUERDO)</t>
  </si>
  <si>
    <t>AV. ARAGUAIA (L. DIREITO)</t>
  </si>
  <si>
    <t>14°02'30.0"S 52°09'35.1"W</t>
  </si>
  <si>
    <t>14°02'13.4"S 52°09'36.6"W</t>
  </si>
  <si>
    <t>RUA 01</t>
  </si>
  <si>
    <t>AV. TROPICAL</t>
  </si>
  <si>
    <t>14°03'16.2"S 52°08'51.7"W</t>
  </si>
  <si>
    <t>14°03'01.5"S 52°08'52.8"W</t>
  </si>
  <si>
    <t>14°03'01.9"S 52°09'15.3"W</t>
  </si>
  <si>
    <t>AV. INDUSTRIAL</t>
  </si>
  <si>
    <t>AV. UNIVERSITÁRIA (L. DIREITO)</t>
  </si>
  <si>
    <t>AV. UNIVERSITÁRIA (L. ESQUERDO)</t>
  </si>
  <si>
    <t>14°04'23.0"S 52°09'52.2"W</t>
  </si>
  <si>
    <t>14°04'37.9"S 52°09'19.0"W</t>
  </si>
  <si>
    <t>14°04'38.5"S 52°09'19.3"W</t>
  </si>
  <si>
    <t>14°04'23.9"S 52°09'52.4"W</t>
  </si>
  <si>
    <t>SINAPI: ABRIL/2020 COM DES</t>
  </si>
  <si>
    <t>14°04'22.2"S 52°09'53.6"W</t>
  </si>
  <si>
    <t>ROTATÓRIA AV. TROPICAL COM A RUA 01</t>
  </si>
  <si>
    <t>ROTATÓRIA AV. RONCADOR COM A RUA 01</t>
  </si>
  <si>
    <t>ROTATÓRIA AV. NORBERTO SCHWANTES COM A RUA 01</t>
  </si>
  <si>
    <t>14°03'01.6"S 52°09'16.2"W</t>
  </si>
  <si>
    <t>14°02'50.5"S 52°09'18.2"W</t>
  </si>
  <si>
    <t>14°04'25.3"S 52°09'13.1"W</t>
  </si>
  <si>
    <t>14°05'05.4"S 52°09'36.5"W</t>
  </si>
  <si>
    <t>14°02'47.1"S 52°09'21.5"W</t>
  </si>
  <si>
    <t>14°02'52.7"S 52°09'21.1"W</t>
  </si>
  <si>
    <t>14°03'00.3"S 52°09'20.5"W</t>
  </si>
  <si>
    <t>14°03'05.6"S 52°09'20.1"W</t>
  </si>
  <si>
    <t>14°03'13.3"S 52°09'19.5"W</t>
  </si>
  <si>
    <t>14°03'18.8"S 52°09'18.9"W</t>
  </si>
  <si>
    <t>Mapa 07 - ARAGUAIA PARQUE</t>
  </si>
  <si>
    <t>14°04'31.4"S 52°09'28.8"W</t>
  </si>
  <si>
    <t>14°04'32.8"S 52°09'28.4"W</t>
  </si>
  <si>
    <t>ROTATÓRIA AV. OLIMPICA COM A RUA BC1</t>
  </si>
  <si>
    <t>14°04'38.4"S 52°10'05.4"W</t>
  </si>
  <si>
    <t>14°04'35.8"S 52°10'15.5"W</t>
  </si>
  <si>
    <t>5°</t>
  </si>
  <si>
    <t>6°</t>
  </si>
  <si>
    <t>_________________________</t>
  </si>
  <si>
    <t>Clarisse Vivan Bilo</t>
  </si>
  <si>
    <t>Engª Civil - CREA MT 045562</t>
  </si>
  <si>
    <t>____________________________</t>
  </si>
  <si>
    <t>______________________</t>
  </si>
  <si>
    <t>ROTATÓRIA AV. OLIMPICA COM A AV. XINGU</t>
  </si>
  <si>
    <t>ROTATÓRIA</t>
  </si>
  <si>
    <t>14°02'11.5"S 52°09'24.7"W</t>
  </si>
  <si>
    <t>14°02'12.1"S 52°09'25.6"W</t>
  </si>
  <si>
    <t>RUA 01 ESTACIONAMENTO DA UAB-UNIVERSIDADE ABERTA DO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</si>
</sst>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_(&quot;R$ &quot;* #,##0.00_);_(&quot;R$ &quot;* \(#,##0.00\);_(&quot;R$ &quot;* &quot;-&quot;??_);_(@_)"/>
    <numFmt numFmtId="166" formatCode="&quot;R$&quot;\ #,##0.00"/>
    <numFmt numFmtId="167" formatCode="&quot;R$&quot;#,##0_);[Red]&quot;(R$&quot;#,##0\)"/>
    <numFmt numFmtId="168" formatCode="#,##0.00\ ;&quot; (&quot;#,##0.00\);&quot; -&quot;#\ ;@\ "/>
    <numFmt numFmtId="169" formatCode="_(* #,##0.000_);_(* \(#,##0.000\);_(* \-??_);_(@_)"/>
    <numFmt numFmtId="170" formatCode="0.0000"/>
    <numFmt numFmtId="171" formatCode="#,##0.00\ ;\-#,##0.00\ ;&quot; -&quot;#\ ;@\ "/>
    <numFmt numFmtId="172" formatCode="_(* #,##0.000_);_(* \(#,##0.000\);_(* \-???_);_(@_)"/>
    <numFmt numFmtId="173" formatCode="_(* #,##0.0000_);_(* \(#,##0.0000\);_(* \-??_);_(@_)"/>
    <numFmt numFmtId="174" formatCode="0.00000"/>
    <numFmt numFmtId="175" formatCode="0000000"/>
    <numFmt numFmtId="176" formatCode="_-* #,##0.0000_-;\-* #,##0.0000_-;_-* &quot;-&quot;????_-;_-@_-"/>
    <numFmt numFmtId="177" formatCode="#,##0\ ;&quot; (&quot;#,##0\);&quot; -&quot;#\ ;@\ "/>
    <numFmt numFmtId="178" formatCode="#,##0.000"/>
    <numFmt numFmtId="179" formatCode="_(* #,##0.00_);_(* \(#,##0.00\);_(* \-???_);_(@_)"/>
    <numFmt numFmtId="180" formatCode="_(* #,##0.00_);_(* \(#,##0.00\);_(* \-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ill="0" applyBorder="0" applyAlignment="0" applyProtection="0"/>
    <xf numFmtId="171" fontId="2" fillId="0" borderId="0"/>
    <xf numFmtId="9" fontId="5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165" fontId="5" fillId="0" borderId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595">
    <xf numFmtId="0" fontId="0" fillId="0" borderId="0" xfId="0"/>
    <xf numFmtId="0" fontId="3" fillId="0" borderId="2" xfId="2" applyFont="1" applyBorder="1" applyAlignment="1">
      <alignment horizontal="center"/>
    </xf>
    <xf numFmtId="0" fontId="4" fillId="0" borderId="14" xfId="2" applyFont="1" applyBorder="1" applyAlignment="1">
      <alignment horizontal="right" wrapText="1"/>
    </xf>
    <xf numFmtId="164" fontId="5" fillId="0" borderId="14" xfId="2" applyNumberFormat="1" applyFont="1" applyBorder="1" applyAlignment="1">
      <alignment horizontal="right" wrapText="1"/>
    </xf>
    <xf numFmtId="4" fontId="4" fillId="0" borderId="14" xfId="2" applyNumberFormat="1" applyFont="1" applyBorder="1" applyAlignment="1">
      <alignment horizontal="right" wrapText="1"/>
    </xf>
    <xf numFmtId="4" fontId="4" fillId="0" borderId="15" xfId="2" applyNumberFormat="1" applyFont="1" applyBorder="1" applyAlignment="1">
      <alignment horizontal="right" wrapText="1"/>
    </xf>
    <xf numFmtId="0" fontId="6" fillId="0" borderId="2" xfId="2" applyFont="1" applyBorder="1"/>
    <xf numFmtId="0" fontId="4" fillId="2" borderId="0" xfId="2" applyFont="1" applyFill="1" applyBorder="1" applyAlignment="1">
      <alignment horizontal="right" wrapText="1"/>
    </xf>
    <xf numFmtId="164" fontId="5" fillId="2" borderId="0" xfId="2" applyNumberFormat="1" applyFont="1" applyFill="1" applyBorder="1" applyAlignment="1">
      <alignment horizontal="right" wrapText="1"/>
    </xf>
    <xf numFmtId="4" fontId="4" fillId="2" borderId="0" xfId="2" applyNumberFormat="1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center" wrapText="1"/>
    </xf>
    <xf numFmtId="0" fontId="7" fillId="3" borderId="20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164" fontId="7" fillId="3" borderId="13" xfId="2" applyNumberFormat="1" applyFont="1" applyFill="1" applyBorder="1" applyAlignment="1">
      <alignment horizontal="center" vertical="center" wrapText="1"/>
    </xf>
    <xf numFmtId="4" fontId="8" fillId="3" borderId="21" xfId="2" applyNumberFormat="1" applyFont="1" applyFill="1" applyBorder="1" applyAlignment="1">
      <alignment horizontal="center" vertical="center" wrapText="1"/>
    </xf>
    <xf numFmtId="4" fontId="8" fillId="3" borderId="22" xfId="2" applyNumberFormat="1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wrapText="1"/>
    </xf>
    <xf numFmtId="0" fontId="7" fillId="5" borderId="13" xfId="2" applyFont="1" applyFill="1" applyBorder="1" applyAlignment="1">
      <alignment vertical="top" wrapText="1"/>
    </xf>
    <xf numFmtId="4" fontId="8" fillId="4" borderId="21" xfId="2" applyNumberFormat="1" applyFont="1" applyFill="1" applyBorder="1" applyAlignment="1">
      <alignment horizontal="right" vertical="top" wrapText="1"/>
    </xf>
    <xf numFmtId="44" fontId="8" fillId="4" borderId="22" xfId="1" applyFont="1" applyFill="1" applyBorder="1" applyAlignment="1">
      <alignment horizontal="left"/>
    </xf>
    <xf numFmtId="3" fontId="10" fillId="0" borderId="9" xfId="2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164" fontId="4" fillId="0" borderId="13" xfId="2" applyNumberFormat="1" applyFont="1" applyBorder="1" applyAlignment="1">
      <alignment horizontal="center" vertical="top" wrapText="1"/>
    </xf>
    <xf numFmtId="165" fontId="4" fillId="0" borderId="13" xfId="1" applyNumberFormat="1" applyFont="1" applyBorder="1" applyAlignment="1">
      <alignment horizontal="left" vertical="top" wrapText="1"/>
    </xf>
    <xf numFmtId="3" fontId="7" fillId="4" borderId="20" xfId="2" applyNumberFormat="1" applyFont="1" applyFill="1" applyBorder="1" applyAlignment="1" applyProtection="1">
      <alignment horizontal="center" vertical="center" wrapText="1"/>
    </xf>
    <xf numFmtId="3" fontId="7" fillId="4" borderId="24" xfId="2" applyNumberFormat="1" applyFont="1" applyFill="1" applyBorder="1" applyAlignment="1" applyProtection="1">
      <alignment horizontal="center" vertical="center" wrapText="1"/>
    </xf>
    <xf numFmtId="0" fontId="7" fillId="4" borderId="13" xfId="2" applyNumberFormat="1" applyFont="1" applyFill="1" applyBorder="1" applyAlignment="1">
      <alignment horizontal="right" vertical="center" wrapText="1"/>
    </xf>
    <xf numFmtId="166" fontId="8" fillId="4" borderId="13" xfId="2" applyNumberFormat="1" applyFont="1" applyFill="1" applyBorder="1" applyAlignment="1">
      <alignment horizontal="center" vertical="top" wrapText="1"/>
    </xf>
    <xf numFmtId="44" fontId="8" fillId="4" borderId="13" xfId="1" applyFont="1" applyFill="1" applyBorder="1" applyAlignment="1">
      <alignment horizontal="left" vertical="top" wrapText="1"/>
    </xf>
    <xf numFmtId="3" fontId="5" fillId="7" borderId="20" xfId="2" applyNumberFormat="1" applyFont="1" applyFill="1" applyBorder="1" applyAlignment="1" applyProtection="1">
      <alignment horizontal="center" vertical="center" wrapText="1"/>
    </xf>
    <xf numFmtId="164" fontId="11" fillId="6" borderId="13" xfId="0" applyNumberFormat="1" applyFont="1" applyFill="1" applyBorder="1" applyAlignment="1">
      <alignment horizontal="center" vertical="center" wrapText="1"/>
    </xf>
    <xf numFmtId="44" fontId="4" fillId="0" borderId="13" xfId="1" applyFont="1" applyBorder="1" applyAlignment="1">
      <alignment horizontal="left" vertical="top" wrapText="1"/>
    </xf>
    <xf numFmtId="3" fontId="5" fillId="7" borderId="7" xfId="2" applyNumberFormat="1" applyFont="1" applyFill="1" applyBorder="1" applyAlignment="1" applyProtection="1">
      <alignment horizontal="center" vertical="center" wrapText="1"/>
    </xf>
    <xf numFmtId="3" fontId="5" fillId="7" borderId="0" xfId="2" applyNumberFormat="1" applyFont="1" applyFill="1" applyBorder="1" applyAlignment="1" applyProtection="1">
      <alignment horizontal="center" vertical="center" wrapText="1"/>
    </xf>
    <xf numFmtId="0" fontId="8" fillId="7" borderId="0" xfId="2" applyFont="1" applyFill="1" applyBorder="1" applyAlignment="1">
      <alignment horizontal="left" vertical="center" wrapText="1"/>
    </xf>
    <xf numFmtId="0" fontId="5" fillId="7" borderId="0" xfId="2" applyNumberFormat="1" applyFont="1" applyFill="1" applyBorder="1" applyAlignment="1">
      <alignment horizontal="center" vertical="center" wrapText="1"/>
    </xf>
    <xf numFmtId="166" fontId="4" fillId="7" borderId="0" xfId="2" applyNumberFormat="1" applyFont="1" applyFill="1" applyBorder="1" applyAlignment="1">
      <alignment horizontal="center" vertical="center" wrapText="1"/>
    </xf>
    <xf numFmtId="4" fontId="8" fillId="2" borderId="0" xfId="2" applyNumberFormat="1" applyFont="1" applyFill="1" applyBorder="1" applyAlignment="1">
      <alignment horizontal="right" vertical="top" wrapText="1"/>
    </xf>
    <xf numFmtId="3" fontId="5" fillId="4" borderId="9" xfId="2" applyNumberFormat="1" applyFont="1" applyFill="1" applyBorder="1" applyAlignment="1" applyProtection="1">
      <alignment horizontal="center" vertical="center" wrapText="1"/>
    </xf>
    <xf numFmtId="3" fontId="5" fillId="4" borderId="10" xfId="2" applyNumberFormat="1" applyFont="1" applyFill="1" applyBorder="1" applyAlignment="1" applyProtection="1">
      <alignment horizontal="center" vertical="center" wrapText="1"/>
    </xf>
    <xf numFmtId="0" fontId="8" fillId="4" borderId="10" xfId="2" applyFont="1" applyFill="1" applyBorder="1" applyAlignment="1">
      <alignment horizontal="right" vertical="center" wrapText="1"/>
    </xf>
    <xf numFmtId="0" fontId="8" fillId="8" borderId="25" xfId="2" applyFont="1" applyFill="1" applyBorder="1" applyAlignment="1">
      <alignment horizontal="right" vertical="center"/>
    </xf>
    <xf numFmtId="44" fontId="7" fillId="0" borderId="35" xfId="1" applyFont="1" applyBorder="1" applyAlignment="1">
      <alignment horizontal="right" vertical="center"/>
    </xf>
    <xf numFmtId="0" fontId="12" fillId="0" borderId="1" xfId="2" applyFont="1" applyFill="1" applyBorder="1" applyAlignment="1">
      <alignment horizontal="center"/>
    </xf>
    <xf numFmtId="0" fontId="13" fillId="0" borderId="63" xfId="2" applyFont="1" applyFill="1" applyBorder="1" applyAlignment="1">
      <alignment horizontal="right" wrapText="1"/>
    </xf>
    <xf numFmtId="164" fontId="13" fillId="0" borderId="3" xfId="2" applyNumberFormat="1" applyFont="1" applyFill="1" applyBorder="1" applyAlignment="1">
      <alignment horizontal="right" wrapText="1"/>
    </xf>
    <xf numFmtId="164" fontId="7" fillId="9" borderId="62" xfId="2" applyNumberFormat="1" applyFont="1" applyFill="1" applyBorder="1" applyAlignment="1">
      <alignment horizontal="left" vertical="center" wrapText="1"/>
    </xf>
    <xf numFmtId="0" fontId="13" fillId="9" borderId="0" xfId="2" applyFont="1" applyFill="1" applyBorder="1" applyAlignment="1">
      <alignment horizontal="right" wrapText="1"/>
    </xf>
    <xf numFmtId="164" fontId="13" fillId="9" borderId="8" xfId="2" applyNumberFormat="1" applyFont="1" applyFill="1" applyBorder="1" applyAlignment="1">
      <alignment horizontal="right" wrapText="1"/>
    </xf>
    <xf numFmtId="164" fontId="13" fillId="9" borderId="8" xfId="2" applyNumberFormat="1" applyFont="1" applyFill="1" applyBorder="1" applyAlignment="1">
      <alignment horizontal="center" wrapText="1"/>
    </xf>
    <xf numFmtId="164" fontId="5" fillId="0" borderId="17" xfId="2" applyNumberFormat="1" applyFont="1" applyFill="1" applyBorder="1"/>
    <xf numFmtId="0" fontId="4" fillId="0" borderId="17" xfId="2" applyFont="1" applyFill="1" applyBorder="1" applyAlignment="1">
      <alignment horizontal="center"/>
    </xf>
    <xf numFmtId="164" fontId="5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0" fontId="16" fillId="0" borderId="7" xfId="3" applyFont="1" applyFill="1" applyBorder="1"/>
    <xf numFmtId="0" fontId="16" fillId="0" borderId="0" xfId="3" applyFont="1" applyFill="1" applyBorder="1"/>
    <xf numFmtId="0" fontId="15" fillId="0" borderId="7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9" fontId="15" fillId="0" borderId="0" xfId="11" applyFont="1" applyFill="1" applyBorder="1" applyAlignment="1">
      <alignment horizontal="center"/>
    </xf>
    <xf numFmtId="0" fontId="7" fillId="11" borderId="22" xfId="13" applyFont="1" applyFill="1" applyBorder="1" applyAlignment="1">
      <alignment horizontal="center"/>
    </xf>
    <xf numFmtId="0" fontId="5" fillId="7" borderId="20" xfId="13" applyFont="1" applyFill="1" applyBorder="1" applyAlignment="1">
      <alignment horizontal="center"/>
    </xf>
    <xf numFmtId="4" fontId="5" fillId="0" borderId="22" xfId="13" applyNumberFormat="1" applyFont="1" applyBorder="1" applyAlignment="1">
      <alignment horizontal="center"/>
    </xf>
    <xf numFmtId="0" fontId="5" fillId="7" borderId="13" xfId="13" applyFont="1" applyFill="1" applyBorder="1"/>
    <xf numFmtId="0" fontId="5" fillId="11" borderId="20" xfId="13" applyFont="1" applyFill="1" applyBorder="1" applyAlignment="1">
      <alignment horizontal="center"/>
    </xf>
    <xf numFmtId="0" fontId="5" fillId="11" borderId="22" xfId="13" applyFont="1" applyFill="1" applyBorder="1"/>
    <xf numFmtId="4" fontId="7" fillId="11" borderId="22" xfId="13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164" fontId="13" fillId="0" borderId="8" xfId="2" applyNumberFormat="1" applyFont="1" applyFill="1" applyBorder="1"/>
    <xf numFmtId="0" fontId="13" fillId="0" borderId="5" xfId="2" applyFont="1" applyFill="1" applyBorder="1"/>
    <xf numFmtId="164" fontId="13" fillId="0" borderId="6" xfId="2" applyNumberFormat="1" applyFont="1" applyFill="1" applyBorder="1"/>
    <xf numFmtId="0" fontId="14" fillId="9" borderId="16" xfId="2" applyFont="1" applyFill="1" applyBorder="1" applyAlignment="1">
      <alignment vertical="center" wrapText="1"/>
    </xf>
    <xf numFmtId="164" fontId="14" fillId="9" borderId="42" xfId="2" applyNumberFormat="1" applyFont="1" applyFill="1" applyBorder="1" applyAlignment="1">
      <alignment vertical="center" wrapText="1"/>
    </xf>
    <xf numFmtId="0" fontId="14" fillId="9" borderId="7" xfId="2" applyFont="1" applyFill="1" applyBorder="1" applyAlignment="1">
      <alignment vertical="center" wrapText="1"/>
    </xf>
    <xf numFmtId="164" fontId="14" fillId="9" borderId="8" xfId="2" applyNumberFormat="1" applyFont="1" applyFill="1" applyBorder="1" applyAlignment="1">
      <alignment vertical="center" wrapText="1"/>
    </xf>
    <xf numFmtId="0" fontId="14" fillId="9" borderId="18" xfId="2" applyFont="1" applyFill="1" applyBorder="1" applyAlignment="1">
      <alignment vertical="center" wrapText="1"/>
    </xf>
    <xf numFmtId="0" fontId="13" fillId="9" borderId="7" xfId="2" applyFont="1" applyFill="1" applyBorder="1" applyAlignment="1">
      <alignment horizontal="center"/>
    </xf>
    <xf numFmtId="0" fontId="7" fillId="0" borderId="16" xfId="2" applyFont="1" applyFill="1" applyBorder="1" applyAlignment="1">
      <alignment vertical="center"/>
    </xf>
    <xf numFmtId="0" fontId="7" fillId="0" borderId="17" xfId="2" applyFont="1" applyFill="1" applyBorder="1" applyAlignment="1">
      <alignment vertical="center"/>
    </xf>
    <xf numFmtId="164" fontId="14" fillId="0" borderId="8" xfId="2" applyNumberFormat="1" applyFont="1" applyFill="1" applyBorder="1" applyAlignment="1">
      <alignment horizontal="right"/>
    </xf>
    <xf numFmtId="164" fontId="16" fillId="0" borderId="62" xfId="2" applyNumberFormat="1" applyFont="1" applyFill="1" applyBorder="1" applyAlignment="1"/>
    <xf numFmtId="0" fontId="5" fillId="0" borderId="7" xfId="3" applyFont="1" applyFill="1" applyBorder="1" applyAlignment="1">
      <alignment horizontal="left"/>
    </xf>
    <xf numFmtId="0" fontId="13" fillId="0" borderId="7" xfId="2" applyFont="1" applyFill="1" applyBorder="1" applyAlignment="1">
      <alignment horizontal="center"/>
    </xf>
    <xf numFmtId="0" fontId="13" fillId="0" borderId="7" xfId="2" applyFont="1" applyFill="1" applyBorder="1" applyAlignment="1"/>
    <xf numFmtId="0" fontId="13" fillId="0" borderId="0" xfId="2" applyFont="1" applyFill="1" applyBorder="1" applyAlignment="1"/>
    <xf numFmtId="0" fontId="13" fillId="0" borderId="4" xfId="2" applyFont="1" applyFill="1" applyBorder="1" applyAlignment="1">
      <alignment horizontal="center"/>
    </xf>
    <xf numFmtId="0" fontId="5" fillId="0" borderId="5" xfId="8" applyFont="1" applyFill="1" applyBorder="1" applyAlignment="1">
      <alignment horizontal="center" vertical="top"/>
    </xf>
    <xf numFmtId="0" fontId="16" fillId="2" borderId="7" xfId="2" applyFont="1" applyFill="1" applyBorder="1" applyAlignment="1">
      <alignment vertical="center" wrapText="1"/>
    </xf>
    <xf numFmtId="0" fontId="16" fillId="2" borderId="18" xfId="2" applyFont="1" applyFill="1" applyBorder="1" applyAlignment="1">
      <alignment vertical="center" wrapText="1"/>
    </xf>
    <xf numFmtId="0" fontId="15" fillId="2" borderId="7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4" fillId="0" borderId="0" xfId="2" applyFont="1" applyBorder="1"/>
    <xf numFmtId="0" fontId="16" fillId="0" borderId="17" xfId="2" applyFont="1" applyFill="1" applyBorder="1" applyAlignment="1">
      <alignment vertical="center"/>
    </xf>
    <xf numFmtId="164" fontId="8" fillId="0" borderId="17" xfId="2" applyNumberFormat="1" applyFont="1" applyFill="1" applyBorder="1" applyAlignment="1">
      <alignment vertical="center" wrapText="1"/>
    </xf>
    <xf numFmtId="0" fontId="16" fillId="0" borderId="17" xfId="2" applyFont="1" applyFill="1" applyBorder="1" applyAlignment="1"/>
    <xf numFmtId="0" fontId="7" fillId="0" borderId="0" xfId="2" applyFont="1" applyFill="1" applyBorder="1" applyAlignment="1"/>
    <xf numFmtId="4" fontId="16" fillId="0" borderId="0" xfId="2" applyNumberFormat="1" applyFont="1" applyFill="1" applyBorder="1" applyAlignment="1">
      <alignment horizontal="right"/>
    </xf>
    <xf numFmtId="0" fontId="7" fillId="0" borderId="19" xfId="2" applyFont="1" applyFill="1" applyBorder="1" applyAlignment="1">
      <alignment vertical="top"/>
    </xf>
    <xf numFmtId="0" fontId="16" fillId="0" borderId="19" xfId="2" applyFont="1" applyFill="1" applyBorder="1" applyAlignment="1"/>
    <xf numFmtId="0" fontId="5" fillId="2" borderId="7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6" fontId="7" fillId="4" borderId="10" xfId="2" applyNumberFormat="1" applyFont="1" applyFill="1" applyBorder="1" applyAlignment="1">
      <alignment vertical="center" wrapText="1"/>
    </xf>
    <xf numFmtId="0" fontId="7" fillId="4" borderId="10" xfId="2" applyNumberFormat="1" applyFont="1" applyFill="1" applyBorder="1" applyAlignment="1">
      <alignment vertical="center" wrapText="1"/>
    </xf>
    <xf numFmtId="0" fontId="5" fillId="0" borderId="16" xfId="2" applyFont="1" applyFill="1" applyBorder="1" applyAlignment="1">
      <alignment horizontal="left"/>
    </xf>
    <xf numFmtId="0" fontId="15" fillId="0" borderId="17" xfId="2" applyFont="1" applyFill="1" applyBorder="1" applyAlignment="1">
      <alignment horizontal="center"/>
    </xf>
    <xf numFmtId="0" fontId="4" fillId="0" borderId="17" xfId="2" applyFont="1" applyBorder="1"/>
    <xf numFmtId="0" fontId="5" fillId="0" borderId="7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16" fillId="2" borderId="1" xfId="2" applyFont="1" applyFill="1" applyBorder="1" applyAlignment="1">
      <alignment vertical="center" wrapText="1"/>
    </xf>
    <xf numFmtId="0" fontId="4" fillId="0" borderId="8" xfId="2" applyFont="1" applyBorder="1"/>
    <xf numFmtId="0" fontId="4" fillId="0" borderId="42" xfId="2" applyFont="1" applyFill="1" applyBorder="1"/>
    <xf numFmtId="0" fontId="4" fillId="0" borderId="8" xfId="2" applyFont="1" applyFill="1" applyBorder="1"/>
    <xf numFmtId="0" fontId="4" fillId="0" borderId="62" xfId="2" applyFont="1" applyFill="1" applyBorder="1"/>
    <xf numFmtId="44" fontId="5" fillId="0" borderId="64" xfId="1" applyFont="1" applyFill="1" applyBorder="1" applyAlignment="1">
      <alignment horizontal="right" vertical="center" wrapText="1"/>
    </xf>
    <xf numFmtId="44" fontId="5" fillId="0" borderId="22" xfId="1" applyFont="1" applyFill="1" applyBorder="1" applyAlignment="1">
      <alignment horizontal="right" vertical="center" wrapText="1"/>
    </xf>
    <xf numFmtId="0" fontId="8" fillId="7" borderId="8" xfId="2" applyFont="1" applyFill="1" applyBorder="1" applyAlignment="1">
      <alignment horizontal="center"/>
    </xf>
    <xf numFmtId="44" fontId="8" fillId="8" borderId="65" xfId="1" applyFont="1" applyFill="1" applyBorder="1" applyAlignment="1">
      <alignment horizontal="right" vertical="center"/>
    </xf>
    <xf numFmtId="0" fontId="4" fillId="0" borderId="42" xfId="2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11" borderId="13" xfId="13" applyFont="1" applyFill="1" applyBorder="1"/>
    <xf numFmtId="0" fontId="5" fillId="7" borderId="7" xfId="13" applyFont="1" applyFill="1" applyBorder="1" applyAlignment="1">
      <alignment horizontal="center"/>
    </xf>
    <xf numFmtId="0" fontId="5" fillId="7" borderId="0" xfId="13" applyFont="1" applyFill="1" applyBorder="1"/>
    <xf numFmtId="0" fontId="5" fillId="7" borderId="8" xfId="13" applyFont="1" applyFill="1" applyBorder="1"/>
    <xf numFmtId="0" fontId="7" fillId="2" borderId="0" xfId="2" applyFont="1" applyFill="1" applyBorder="1" applyAlignment="1">
      <alignment vertical="center" wrapText="1"/>
    </xf>
    <xf numFmtId="0" fontId="7" fillId="2" borderId="0" xfId="2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/>
    <xf numFmtId="0" fontId="5" fillId="0" borderId="3" xfId="0" applyFont="1" applyFill="1" applyBorder="1"/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right" vertical="center"/>
    </xf>
    <xf numFmtId="174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49" fontId="7" fillId="0" borderId="0" xfId="0" quotePrefix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174" fontId="5" fillId="0" borderId="17" xfId="0" applyNumberFormat="1" applyFont="1" applyFill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74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/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/>
    <xf numFmtId="0" fontId="7" fillId="0" borderId="17" xfId="0" applyFont="1" applyFill="1" applyBorder="1" applyAlignment="1">
      <alignment horizont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" fontId="10" fillId="0" borderId="67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8" xfId="0" applyFont="1" applyBorder="1"/>
    <xf numFmtId="0" fontId="10" fillId="0" borderId="7" xfId="0" applyFont="1" applyBorder="1"/>
    <xf numFmtId="0" fontId="15" fillId="0" borderId="7" xfId="13" applyFont="1" applyFill="1" applyBorder="1" applyAlignment="1">
      <alignment horizontal="center"/>
    </xf>
    <xf numFmtId="0" fontId="15" fillId="0" borderId="0" xfId="13" applyFont="1" applyFill="1" applyBorder="1"/>
    <xf numFmtId="0" fontId="15" fillId="0" borderId="8" xfId="13" applyFont="1" applyFill="1" applyBorder="1"/>
    <xf numFmtId="0" fontId="5" fillId="0" borderId="7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4" fontId="15" fillId="0" borderId="7" xfId="13" applyNumberFormat="1" applyFont="1" applyFill="1" applyBorder="1"/>
    <xf numFmtId="0" fontId="7" fillId="2" borderId="2" xfId="2" applyFont="1" applyFill="1" applyBorder="1" applyAlignment="1">
      <alignment wrapText="1"/>
    </xf>
    <xf numFmtId="0" fontId="5" fillId="0" borderId="29" xfId="3" applyFont="1" applyBorder="1" applyAlignment="1">
      <alignment horizontal="center"/>
    </xf>
    <xf numFmtId="0" fontId="5" fillId="0" borderId="30" xfId="3" applyFont="1" applyBorder="1"/>
    <xf numFmtId="0" fontId="5" fillId="0" borderId="33" xfId="3" applyFont="1" applyBorder="1" applyAlignment="1">
      <alignment horizontal="center"/>
    </xf>
    <xf numFmtId="0" fontId="5" fillId="0" borderId="34" xfId="3" applyFont="1" applyBorder="1"/>
    <xf numFmtId="169" fontId="5" fillId="0" borderId="30" xfId="4" applyNumberFormat="1" applyFont="1" applyFill="1" applyBorder="1" applyAlignment="1" applyProtection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33" xfId="3" applyFont="1" applyFill="1" applyBorder="1" applyAlignment="1">
      <alignment horizontal="center"/>
    </xf>
    <xf numFmtId="0" fontId="5" fillId="0" borderId="34" xfId="3" applyFont="1" applyFill="1" applyBorder="1"/>
    <xf numFmtId="0" fontId="5" fillId="0" borderId="32" xfId="3" applyFont="1" applyFill="1" applyBorder="1" applyAlignment="1">
      <alignment horizontal="center"/>
    </xf>
    <xf numFmtId="168" fontId="5" fillId="0" borderId="30" xfId="4" applyNumberFormat="1" applyFont="1" applyFill="1" applyBorder="1" applyAlignment="1" applyProtection="1">
      <alignment horizontal="center" vertical="center"/>
    </xf>
    <xf numFmtId="0" fontId="5" fillId="0" borderId="36" xfId="3" applyFont="1" applyFill="1" applyBorder="1" applyAlignment="1">
      <alignment vertical="center"/>
    </xf>
    <xf numFmtId="0" fontId="5" fillId="0" borderId="29" xfId="3" applyFont="1" applyFill="1" applyBorder="1" applyAlignment="1">
      <alignment horizontal="center"/>
    </xf>
    <xf numFmtId="0" fontId="5" fillId="0" borderId="37" xfId="3" applyFont="1" applyFill="1" applyBorder="1"/>
    <xf numFmtId="0" fontId="5" fillId="0" borderId="13" xfId="3" applyFont="1" applyFill="1" applyBorder="1"/>
    <xf numFmtId="0" fontId="5" fillId="0" borderId="38" xfId="3" applyFont="1" applyFill="1" applyBorder="1" applyAlignment="1">
      <alignment horizontal="center"/>
    </xf>
    <xf numFmtId="0" fontId="5" fillId="0" borderId="30" xfId="3" applyFont="1" applyFill="1" applyBorder="1" applyAlignment="1">
      <alignment horizontal="center" vertical="center"/>
    </xf>
    <xf numFmtId="2" fontId="5" fillId="0" borderId="30" xfId="3" applyNumberFormat="1" applyFont="1" applyFill="1" applyBorder="1" applyAlignment="1">
      <alignment horizontal="center" vertical="center"/>
    </xf>
    <xf numFmtId="44" fontId="10" fillId="0" borderId="35" xfId="1" applyFont="1" applyBorder="1" applyAlignment="1">
      <alignment horizontal="right" vertical="center"/>
    </xf>
    <xf numFmtId="0" fontId="5" fillId="0" borderId="30" xfId="3" applyFont="1" applyFill="1" applyBorder="1"/>
    <xf numFmtId="0" fontId="5" fillId="0" borderId="30" xfId="3" applyFont="1" applyFill="1" applyBorder="1" applyAlignment="1">
      <alignment horizontal="center"/>
    </xf>
    <xf numFmtId="0" fontId="7" fillId="0" borderId="30" xfId="3" applyFont="1" applyFill="1" applyBorder="1" applyAlignment="1">
      <alignment horizontal="center" vertical="center"/>
    </xf>
    <xf numFmtId="170" fontId="5" fillId="0" borderId="30" xfId="3" applyNumberFormat="1" applyFont="1" applyFill="1" applyBorder="1"/>
    <xf numFmtId="177" fontId="5" fillId="0" borderId="30" xfId="5" applyNumberFormat="1" applyFont="1" applyFill="1" applyBorder="1" applyAlignment="1" applyProtection="1">
      <alignment horizontal="center"/>
    </xf>
    <xf numFmtId="169" fontId="5" fillId="0" borderId="30" xfId="4" applyNumberFormat="1" applyFont="1" applyFill="1" applyBorder="1" applyAlignment="1" applyProtection="1"/>
    <xf numFmtId="172" fontId="5" fillId="0" borderId="30" xfId="3" applyNumberFormat="1" applyFont="1" applyFill="1" applyBorder="1" applyAlignment="1">
      <alignment horizontal="center"/>
    </xf>
    <xf numFmtId="44" fontId="5" fillId="0" borderId="34" xfId="1" applyFont="1" applyFill="1" applyBorder="1" applyAlignment="1" applyProtection="1">
      <alignment horizontal="center" vertical="center"/>
    </xf>
    <xf numFmtId="44" fontId="5" fillId="0" borderId="35" xfId="1" applyFont="1" applyBorder="1"/>
    <xf numFmtId="44" fontId="7" fillId="0" borderId="41" xfId="1" applyFont="1" applyFill="1" applyBorder="1" applyAlignment="1" applyProtection="1"/>
    <xf numFmtId="0" fontId="7" fillId="0" borderId="16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168" fontId="7" fillId="0" borderId="42" xfId="4" applyNumberFormat="1" applyFont="1" applyFill="1" applyBorder="1" applyAlignment="1" applyProtection="1"/>
    <xf numFmtId="0" fontId="5" fillId="0" borderId="43" xfId="3" applyFont="1" applyFill="1" applyBorder="1" applyAlignment="1">
      <alignment horizontal="center"/>
    </xf>
    <xf numFmtId="0" fontId="5" fillId="0" borderId="44" xfId="3" applyFont="1" applyFill="1" applyBorder="1"/>
    <xf numFmtId="0" fontId="5" fillId="0" borderId="44" xfId="3" applyFont="1" applyFill="1" applyBorder="1" applyAlignment="1">
      <alignment horizontal="center"/>
    </xf>
    <xf numFmtId="169" fontId="5" fillId="0" borderId="46" xfId="4" applyNumberFormat="1" applyFont="1" applyFill="1" applyBorder="1" applyAlignment="1" applyProtection="1">
      <alignment horizontal="center" vertical="center"/>
    </xf>
    <xf numFmtId="169" fontId="5" fillId="0" borderId="31" xfId="4" applyNumberFormat="1" applyFont="1" applyFill="1" applyBorder="1" applyAlignment="1" applyProtection="1">
      <alignment horizontal="center" vertical="center"/>
    </xf>
    <xf numFmtId="0" fontId="5" fillId="0" borderId="31" xfId="3" applyFont="1" applyFill="1" applyBorder="1" applyAlignment="1">
      <alignment horizontal="center" vertical="center"/>
    </xf>
    <xf numFmtId="0" fontId="5" fillId="0" borderId="47" xfId="3" applyFont="1" applyBorder="1" applyAlignment="1">
      <alignment horizontal="center" vertical="center"/>
    </xf>
    <xf numFmtId="0" fontId="5" fillId="0" borderId="39" xfId="3" applyFont="1" applyFill="1" applyBorder="1" applyAlignment="1">
      <alignment horizontal="center"/>
    </xf>
    <xf numFmtId="0" fontId="5" fillId="0" borderId="48" xfId="3" applyFont="1" applyFill="1" applyBorder="1"/>
    <xf numFmtId="0" fontId="5" fillId="0" borderId="48" xfId="3" applyFont="1" applyFill="1" applyBorder="1" applyAlignment="1">
      <alignment horizontal="center"/>
    </xf>
    <xf numFmtId="169" fontId="5" fillId="0" borderId="50" xfId="4" applyNumberFormat="1" applyFont="1" applyFill="1" applyBorder="1" applyAlignment="1" applyProtection="1">
      <alignment horizontal="center" vertical="center"/>
    </xf>
    <xf numFmtId="169" fontId="5" fillId="0" borderId="51" xfId="4" applyNumberFormat="1" applyFont="1" applyFill="1" applyBorder="1" applyAlignment="1" applyProtection="1">
      <alignment horizontal="center" vertical="center"/>
    </xf>
    <xf numFmtId="0" fontId="5" fillId="0" borderId="51" xfId="3" applyFont="1" applyFill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53" xfId="3" applyFont="1" applyFill="1" applyBorder="1" applyAlignment="1">
      <alignment horizontal="center"/>
    </xf>
    <xf numFmtId="0" fontId="5" fillId="0" borderId="54" xfId="3" applyFont="1" applyFill="1" applyBorder="1"/>
    <xf numFmtId="0" fontId="5" fillId="0" borderId="54" xfId="3" applyFont="1" applyFill="1" applyBorder="1" applyAlignment="1">
      <alignment horizontal="center"/>
    </xf>
    <xf numFmtId="168" fontId="5" fillId="0" borderId="55" xfId="4" applyNumberFormat="1" applyFont="1" applyFill="1" applyBorder="1" applyAlignment="1" applyProtection="1">
      <alignment horizontal="center" vertical="center"/>
    </xf>
    <xf numFmtId="169" fontId="5" fillId="0" borderId="56" xfId="4" applyNumberFormat="1" applyFont="1" applyFill="1" applyBorder="1" applyAlignment="1" applyProtection="1">
      <alignment horizontal="center" vertical="center"/>
    </xf>
    <xf numFmtId="169" fontId="5" fillId="0" borderId="54" xfId="4" applyNumberFormat="1" applyFont="1" applyFill="1" applyBorder="1" applyAlignment="1" applyProtection="1">
      <alignment horizontal="center" vertical="center"/>
    </xf>
    <xf numFmtId="0" fontId="5" fillId="0" borderId="54" xfId="3" applyFont="1" applyFill="1" applyBorder="1" applyAlignment="1">
      <alignment horizontal="center" vertical="center"/>
    </xf>
    <xf numFmtId="0" fontId="5" fillId="0" borderId="57" xfId="3" applyFont="1" applyBorder="1" applyAlignment="1">
      <alignment horizontal="center" vertical="center"/>
    </xf>
    <xf numFmtId="170" fontId="5" fillId="0" borderId="30" xfId="3" applyNumberFormat="1" applyFont="1" applyFill="1" applyBorder="1" applyAlignment="1">
      <alignment wrapText="1"/>
    </xf>
    <xf numFmtId="0" fontId="5" fillId="0" borderId="30" xfId="3" applyFont="1" applyBorder="1" applyAlignment="1">
      <alignment horizontal="center"/>
    </xf>
    <xf numFmtId="168" fontId="5" fillId="0" borderId="30" xfId="5" applyNumberFormat="1" applyFont="1" applyFill="1" applyBorder="1" applyAlignment="1" applyProtection="1"/>
    <xf numFmtId="173" fontId="5" fillId="0" borderId="30" xfId="4" applyNumberFormat="1" applyFont="1" applyFill="1" applyBorder="1" applyAlignment="1" applyProtection="1"/>
    <xf numFmtId="44" fontId="5" fillId="0" borderId="30" xfId="1" applyFont="1" applyFill="1" applyBorder="1" applyAlignment="1" applyProtection="1">
      <alignment horizontal="center"/>
    </xf>
    <xf numFmtId="170" fontId="5" fillId="0" borderId="34" xfId="3" applyNumberFormat="1" applyFont="1" applyFill="1" applyBorder="1"/>
    <xf numFmtId="0" fontId="5" fillId="0" borderId="34" xfId="3" applyFont="1" applyBorder="1" applyAlignment="1">
      <alignment horizontal="center"/>
    </xf>
    <xf numFmtId="168" fontId="5" fillId="0" borderId="34" xfId="5" applyNumberFormat="1" applyFont="1" applyFill="1" applyBorder="1" applyAlignment="1" applyProtection="1"/>
    <xf numFmtId="169" fontId="5" fillId="0" borderId="34" xfId="4" applyNumberFormat="1" applyFont="1" applyFill="1" applyBorder="1" applyAlignment="1" applyProtection="1"/>
    <xf numFmtId="173" fontId="5" fillId="0" borderId="34" xfId="4" applyNumberFormat="1" applyFont="1" applyFill="1" applyBorder="1" applyAlignment="1" applyProtection="1"/>
    <xf numFmtId="44" fontId="5" fillId="0" borderId="34" xfId="1" applyFont="1" applyFill="1" applyBorder="1" applyAlignment="1" applyProtection="1">
      <alignment horizontal="center"/>
    </xf>
    <xf numFmtId="44" fontId="7" fillId="0" borderId="61" xfId="1" applyFont="1" applyFill="1" applyBorder="1" applyAlignment="1" applyProtection="1"/>
    <xf numFmtId="0" fontId="5" fillId="0" borderId="37" xfId="3" applyFont="1" applyFill="1" applyBorder="1" applyAlignment="1">
      <alignment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vertical="center"/>
    </xf>
    <xf numFmtId="169" fontId="5" fillId="0" borderId="13" xfId="4" applyNumberFormat="1" applyFont="1" applyFill="1" applyBorder="1" applyAlignment="1" applyProtection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vertical="center" wrapText="1"/>
    </xf>
    <xf numFmtId="10" fontId="7" fillId="0" borderId="13" xfId="6" applyNumberFormat="1" applyFont="1" applyFill="1" applyBorder="1" applyAlignment="1">
      <alignment horizontal="center" vertical="top"/>
    </xf>
    <xf numFmtId="0" fontId="7" fillId="0" borderId="13" xfId="2" applyFont="1" applyFill="1" applyBorder="1" applyAlignment="1">
      <alignment vertical="center" wrapText="1"/>
    </xf>
    <xf numFmtId="0" fontId="7" fillId="9" borderId="13" xfId="7" applyFont="1" applyFill="1" applyBorder="1" applyAlignment="1" applyProtection="1">
      <alignment horizontal="left" vertical="center" wrapText="1"/>
    </xf>
    <xf numFmtId="10" fontId="7" fillId="9" borderId="13" xfId="6" applyNumberFormat="1" applyFont="1" applyFill="1" applyBorder="1" applyAlignment="1">
      <alignment horizontal="center" vertical="top"/>
    </xf>
    <xf numFmtId="0" fontId="7" fillId="9" borderId="13" xfId="3" applyFont="1" applyFill="1" applyBorder="1" applyAlignment="1">
      <alignment horizontal="right" vertical="center"/>
    </xf>
    <xf numFmtId="9" fontId="7" fillId="9" borderId="13" xfId="6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/>
    <xf numFmtId="0" fontId="10" fillId="0" borderId="23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vertical="center" wrapText="1"/>
    </xf>
    <xf numFmtId="4" fontId="7" fillId="0" borderId="0" xfId="2" applyNumberFormat="1" applyFont="1" applyFill="1" applyBorder="1" applyAlignment="1">
      <alignment horizontal="right"/>
    </xf>
    <xf numFmtId="0" fontId="7" fillId="0" borderId="19" xfId="2" applyFont="1" applyFill="1" applyBorder="1" applyAlignment="1"/>
    <xf numFmtId="4" fontId="7" fillId="3" borderId="13" xfId="2" applyNumberFormat="1" applyFont="1" applyFill="1" applyBorder="1" applyAlignment="1">
      <alignment horizontal="center" vertical="center" wrapText="1"/>
    </xf>
    <xf numFmtId="3" fontId="7" fillId="4" borderId="20" xfId="2" applyNumberFormat="1" applyFont="1" applyFill="1" applyBorder="1" applyAlignment="1">
      <alignment horizontal="center" vertical="center" wrapText="1"/>
    </xf>
    <xf numFmtId="3" fontId="7" fillId="4" borderId="23" xfId="2" applyNumberFormat="1" applyFont="1" applyFill="1" applyBorder="1" applyAlignment="1">
      <alignment horizontal="center" vertical="center" wrapText="1"/>
    </xf>
    <xf numFmtId="4" fontId="5" fillId="4" borderId="13" xfId="2" applyNumberFormat="1" applyFont="1" applyFill="1" applyBorder="1" applyAlignment="1">
      <alignment horizontal="right" vertical="top" wrapText="1"/>
    </xf>
    <xf numFmtId="4" fontId="7" fillId="4" borderId="13" xfId="2" applyNumberFormat="1" applyFont="1" applyFill="1" applyBorder="1" applyAlignment="1">
      <alignment horizontal="right" vertical="top" wrapText="1"/>
    </xf>
    <xf numFmtId="3" fontId="5" fillId="0" borderId="9" xfId="2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 wrapText="1"/>
    </xf>
    <xf numFmtId="164" fontId="5" fillId="0" borderId="13" xfId="2" applyNumberFormat="1" applyFont="1" applyBorder="1" applyAlignment="1">
      <alignment horizontal="center" vertical="top" wrapText="1"/>
    </xf>
    <xf numFmtId="165" fontId="5" fillId="0" borderId="13" xfId="1" applyNumberFormat="1" applyFont="1" applyBorder="1" applyAlignment="1">
      <alignment horizontal="left" vertical="top" wrapText="1"/>
    </xf>
    <xf numFmtId="4" fontId="0" fillId="0" borderId="0" xfId="0" applyNumberFormat="1"/>
    <xf numFmtId="0" fontId="10" fillId="0" borderId="7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4" borderId="82" xfId="0" applyNumberFormat="1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4" fontId="10" fillId="0" borderId="86" xfId="0" applyNumberFormat="1" applyFont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4" fontId="10" fillId="0" borderId="73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3" fontId="0" fillId="0" borderId="0" xfId="0" applyNumberFormat="1"/>
    <xf numFmtId="178" fontId="0" fillId="0" borderId="0" xfId="0" applyNumberFormat="1"/>
    <xf numFmtId="4" fontId="0" fillId="0" borderId="13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8" fillId="4" borderId="71" xfId="0" applyFont="1" applyFill="1" applyBorder="1" applyAlignment="1">
      <alignment horizontal="center" vertical="center"/>
    </xf>
    <xf numFmtId="4" fontId="18" fillId="4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20" fillId="4" borderId="12" xfId="0" applyNumberFormat="1" applyFont="1" applyFill="1" applyBorder="1" applyAlignment="1">
      <alignment horizontal="center" vertical="center"/>
    </xf>
    <xf numFmtId="0" fontId="18" fillId="14" borderId="8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18" fillId="14" borderId="85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0" fontId="0" fillId="0" borderId="0" xfId="0" applyNumberFormat="1"/>
    <xf numFmtId="0" fontId="7" fillId="0" borderId="2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176" fontId="5" fillId="0" borderId="17" xfId="0" applyNumberFormat="1" applyFont="1" applyFill="1" applyBorder="1" applyAlignment="1">
      <alignment vertical="top"/>
    </xf>
    <xf numFmtId="4" fontId="0" fillId="0" borderId="13" xfId="1" applyNumberFormat="1" applyFont="1" applyBorder="1" applyAlignment="1">
      <alignment horizontal="center" vertical="center"/>
    </xf>
    <xf numFmtId="179" fontId="5" fillId="0" borderId="30" xfId="3" applyNumberFormat="1" applyFont="1" applyFill="1" applyBorder="1" applyAlignment="1">
      <alignment horizontal="center"/>
    </xf>
    <xf numFmtId="180" fontId="5" fillId="0" borderId="30" xfId="4" applyNumberFormat="1" applyFont="1" applyFill="1" applyBorder="1" applyAlignment="1" applyProtection="1"/>
    <xf numFmtId="0" fontId="0" fillId="0" borderId="0" xfId="0" applyBorder="1"/>
    <xf numFmtId="0" fontId="5" fillId="9" borderId="13" xfId="3" applyFont="1" applyFill="1" applyBorder="1" applyAlignment="1">
      <alignment horizontal="center"/>
    </xf>
    <xf numFmtId="0" fontId="7" fillId="12" borderId="13" xfId="3" applyFont="1" applyFill="1" applyBorder="1" applyAlignment="1">
      <alignment horizontal="center" vertical="center"/>
    </xf>
    <xf numFmtId="0" fontId="7" fillId="9" borderId="13" xfId="3" applyFont="1" applyFill="1" applyBorder="1" applyAlignment="1">
      <alignment horizontal="center" vertical="center"/>
    </xf>
    <xf numFmtId="0" fontId="0" fillId="0" borderId="13" xfId="0" applyBorder="1"/>
    <xf numFmtId="0" fontId="7" fillId="0" borderId="13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left" vertical="center" wrapText="1"/>
    </xf>
    <xf numFmtId="165" fontId="7" fillId="0" borderId="13" xfId="3" applyNumberFormat="1" applyFont="1" applyFill="1" applyBorder="1" applyAlignment="1">
      <alignment horizontal="center" vertical="center"/>
    </xf>
    <xf numFmtId="9" fontId="7" fillId="13" borderId="13" xfId="3" applyNumberFormat="1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left" vertical="top" wrapText="1"/>
    </xf>
    <xf numFmtId="165" fontId="5" fillId="0" borderId="13" xfId="3" applyNumberFormat="1" applyFont="1" applyFill="1" applyBorder="1" applyAlignment="1">
      <alignment horizontal="center" vertical="top"/>
    </xf>
    <xf numFmtId="165" fontId="5" fillId="9" borderId="13" xfId="10" applyFont="1" applyFill="1" applyBorder="1" applyAlignment="1">
      <alignment horizontal="center"/>
    </xf>
    <xf numFmtId="165" fontId="5" fillId="0" borderId="13" xfId="10" applyFont="1" applyFill="1" applyBorder="1" applyAlignment="1">
      <alignment horizontal="center"/>
    </xf>
    <xf numFmtId="43" fontId="0" fillId="0" borderId="13" xfId="0" applyNumberFormat="1" applyBorder="1"/>
    <xf numFmtId="0" fontId="5" fillId="9" borderId="13" xfId="3" applyFont="1" applyFill="1" applyBorder="1" applyAlignment="1">
      <alignment horizontal="left" vertical="top"/>
    </xf>
    <xf numFmtId="165" fontId="5" fillId="9" borderId="13" xfId="3" applyNumberFormat="1" applyFont="1" applyFill="1" applyBorder="1" applyAlignment="1">
      <alignment horizontal="center" vertical="top"/>
    </xf>
    <xf numFmtId="0" fontId="7" fillId="12" borderId="13" xfId="3" applyFont="1" applyFill="1" applyBorder="1" applyAlignment="1">
      <alignment horizontal="center"/>
    </xf>
    <xf numFmtId="165" fontId="7" fillId="12" borderId="13" xfId="3" applyNumberFormat="1" applyFont="1" applyFill="1" applyBorder="1" applyAlignment="1">
      <alignment horizontal="center"/>
    </xf>
    <xf numFmtId="0" fontId="7" fillId="12" borderId="13" xfId="3" applyFont="1" applyFill="1" applyBorder="1" applyAlignment="1">
      <alignment horizontal="right"/>
    </xf>
    <xf numFmtId="43" fontId="18" fillId="4" borderId="13" xfId="0" applyNumberFormat="1" applyFont="1" applyFill="1" applyBorder="1"/>
    <xf numFmtId="9" fontId="7" fillId="12" borderId="13" xfId="11" applyNumberFormat="1" applyFont="1" applyFill="1" applyBorder="1" applyAlignment="1">
      <alignment horizontal="center"/>
    </xf>
    <xf numFmtId="0" fontId="7" fillId="12" borderId="20" xfId="3" applyFont="1" applyFill="1" applyBorder="1" applyAlignment="1">
      <alignment horizontal="center" vertical="center"/>
    </xf>
    <xf numFmtId="0" fontId="7" fillId="12" borderId="22" xfId="3" applyFont="1" applyFill="1" applyBorder="1" applyAlignment="1">
      <alignment horizontal="center" vertical="center"/>
    </xf>
    <xf numFmtId="0" fontId="7" fillId="9" borderId="20" xfId="3" applyFont="1" applyFill="1" applyBorder="1" applyAlignment="1">
      <alignment horizontal="center" vertical="center"/>
    </xf>
    <xf numFmtId="0" fontId="0" fillId="0" borderId="22" xfId="0" applyBorder="1"/>
    <xf numFmtId="0" fontId="7" fillId="0" borderId="20" xfId="3" applyFont="1" applyFill="1" applyBorder="1" applyAlignment="1">
      <alignment horizontal="center" vertical="center"/>
    </xf>
    <xf numFmtId="9" fontId="7" fillId="13" borderId="22" xfId="3" applyNumberFormat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/>
    </xf>
    <xf numFmtId="43" fontId="0" fillId="0" borderId="22" xfId="0" applyNumberFormat="1" applyBorder="1"/>
    <xf numFmtId="0" fontId="5" fillId="9" borderId="20" xfId="3" applyFont="1" applyFill="1" applyBorder="1" applyAlignment="1">
      <alignment horizontal="center"/>
    </xf>
    <xf numFmtId="0" fontId="7" fillId="12" borderId="20" xfId="3" applyFont="1" applyFill="1" applyBorder="1" applyAlignment="1">
      <alignment horizontal="center"/>
    </xf>
    <xf numFmtId="43" fontId="18" fillId="4" borderId="22" xfId="0" applyNumberFormat="1" applyFont="1" applyFill="1" applyBorder="1"/>
    <xf numFmtId="0" fontId="0" fillId="0" borderId="8" xfId="0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7" xfId="0" applyBorder="1"/>
    <xf numFmtId="9" fontId="18" fillId="4" borderId="13" xfId="14" applyFont="1" applyFill="1" applyBorder="1" applyAlignment="1">
      <alignment horizontal="center"/>
    </xf>
    <xf numFmtId="9" fontId="18" fillId="4" borderId="22" xfId="14" applyFont="1" applyFill="1" applyBorder="1" applyAlignment="1">
      <alignment horizontal="center"/>
    </xf>
    <xf numFmtId="0" fontId="10" fillId="0" borderId="0" xfId="0" applyFont="1" applyBorder="1" applyAlignment="1"/>
    <xf numFmtId="0" fontId="7" fillId="10" borderId="20" xfId="2" applyFont="1" applyFill="1" applyBorder="1" applyAlignment="1">
      <alignment horizontal="center" vertical="center" wrapText="1"/>
    </xf>
    <xf numFmtId="164" fontId="7" fillId="10" borderId="22" xfId="2" applyNumberFormat="1" applyFont="1" applyFill="1" applyBorder="1" applyAlignment="1">
      <alignment horizontal="center" vertical="center" wrapText="1"/>
    </xf>
    <xf numFmtId="3" fontId="14" fillId="0" borderId="20" xfId="2" applyNumberFormat="1" applyFont="1" applyFill="1" applyBorder="1" applyAlignment="1">
      <alignment horizontal="center" vertical="center" wrapText="1"/>
    </xf>
    <xf numFmtId="4" fontId="7" fillId="0" borderId="22" xfId="7" applyNumberFormat="1" applyFont="1" applyFill="1" applyBorder="1" applyAlignment="1">
      <alignment horizontal="right" vertical="top"/>
    </xf>
    <xf numFmtId="3" fontId="7" fillId="0" borderId="20" xfId="2" applyNumberFormat="1" applyFont="1" applyFill="1" applyBorder="1" applyAlignment="1">
      <alignment horizontal="center" vertical="center" wrapText="1"/>
    </xf>
    <xf numFmtId="3" fontId="14" fillId="9" borderId="20" xfId="2" applyNumberFormat="1" applyFont="1" applyFill="1" applyBorder="1" applyAlignment="1" applyProtection="1">
      <alignment horizontal="center" vertical="center" wrapText="1"/>
    </xf>
    <xf numFmtId="4" fontId="7" fillId="9" borderId="22" xfId="7" applyNumberFormat="1" applyFont="1" applyFill="1" applyBorder="1" applyAlignment="1">
      <alignment horizontal="right" vertical="top"/>
    </xf>
    <xf numFmtId="0" fontId="5" fillId="9" borderId="20" xfId="3" applyFont="1" applyFill="1" applyBorder="1" applyAlignment="1">
      <alignment horizontal="left"/>
    </xf>
    <xf numFmtId="164" fontId="14" fillId="9" borderId="22" xfId="2" applyNumberFormat="1" applyFont="1" applyFill="1" applyBorder="1" applyAlignment="1">
      <alignment vertical="center"/>
    </xf>
    <xf numFmtId="0" fontId="10" fillId="0" borderId="8" xfId="0" applyFont="1" applyBorder="1" applyAlignment="1"/>
    <xf numFmtId="0" fontId="10" fillId="0" borderId="8" xfId="0" applyFont="1" applyFill="1" applyBorder="1" applyAlignment="1"/>
    <xf numFmtId="0" fontId="19" fillId="0" borderId="20" xfId="0" applyFont="1" applyBorder="1" applyAlignment="1">
      <alignment horizontal="center" vertical="center"/>
    </xf>
    <xf numFmtId="4" fontId="0" fillId="0" borderId="0" xfId="0" applyNumberFormat="1" applyBorder="1"/>
    <xf numFmtId="0" fontId="10" fillId="0" borderId="5" xfId="0" applyFont="1" applyFill="1" applyBorder="1" applyAlignment="1">
      <alignment horizontal="center"/>
    </xf>
    <xf numFmtId="44" fontId="0" fillId="0" borderId="0" xfId="0" applyNumberFormat="1"/>
    <xf numFmtId="0" fontId="10" fillId="0" borderId="0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18" fillId="4" borderId="87" xfId="0" applyFont="1" applyFill="1" applyBorder="1" applyAlignment="1">
      <alignment horizontal="center" vertical="center"/>
    </xf>
    <xf numFmtId="4" fontId="18" fillId="4" borderId="8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0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9" fillId="0" borderId="6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4" fillId="9" borderId="17" xfId="2" applyFont="1" applyFill="1" applyBorder="1" applyAlignment="1">
      <alignment horizontal="center" vertical="center" wrapText="1"/>
    </xf>
    <xf numFmtId="0" fontId="14" fillId="9" borderId="0" xfId="2" applyFont="1" applyFill="1" applyBorder="1" applyAlignment="1">
      <alignment horizontal="center" vertical="center" wrapText="1"/>
    </xf>
    <xf numFmtId="0" fontId="7" fillId="9" borderId="19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horizontal="left" vertical="center"/>
    </xf>
    <xf numFmtId="0" fontId="13" fillId="9" borderId="0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left" vertical="center" wrapText="1"/>
    </xf>
    <xf numFmtId="0" fontId="7" fillId="0" borderId="17" xfId="2" applyFont="1" applyFill="1" applyBorder="1" applyAlignment="1">
      <alignment horizontal="left" vertical="center" wrapText="1"/>
    </xf>
    <xf numFmtId="0" fontId="7" fillId="0" borderId="42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62" xfId="2" applyFont="1" applyBorder="1" applyAlignment="1">
      <alignment horizontal="center"/>
    </xf>
    <xf numFmtId="0" fontId="9" fillId="0" borderId="0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horizontal="left" vertical="top"/>
    </xf>
    <xf numFmtId="0" fontId="8" fillId="0" borderId="20" xfId="2" applyFont="1" applyFill="1" applyBorder="1" applyAlignment="1">
      <alignment horizontal="left" vertical="top"/>
    </xf>
    <xf numFmtId="0" fontId="8" fillId="0" borderId="13" xfId="2" applyFont="1" applyFill="1" applyBorder="1" applyAlignment="1">
      <alignment horizontal="left" vertical="top"/>
    </xf>
    <xf numFmtId="0" fontId="8" fillId="0" borderId="22" xfId="2" applyFont="1" applyFill="1" applyBorder="1" applyAlignment="1">
      <alignment horizontal="left" vertical="top"/>
    </xf>
    <xf numFmtId="0" fontId="14" fillId="9" borderId="1" xfId="2" applyFont="1" applyFill="1" applyBorder="1" applyAlignment="1">
      <alignment horizontal="center" wrapText="1"/>
    </xf>
    <xf numFmtId="0" fontId="14" fillId="9" borderId="2" xfId="2" applyFont="1" applyFill="1" applyBorder="1" applyAlignment="1">
      <alignment horizontal="center" wrapText="1"/>
    </xf>
    <xf numFmtId="0" fontId="14" fillId="9" borderId="3" xfId="2" applyFont="1" applyFill="1" applyBorder="1" applyAlignment="1">
      <alignment horizontal="center" wrapText="1"/>
    </xf>
    <xf numFmtId="0" fontId="14" fillId="9" borderId="7" xfId="2" applyFont="1" applyFill="1" applyBorder="1" applyAlignment="1">
      <alignment horizontal="center" wrapText="1"/>
    </xf>
    <xf numFmtId="0" fontId="14" fillId="9" borderId="0" xfId="2" applyFont="1" applyFill="1" applyBorder="1" applyAlignment="1">
      <alignment horizontal="center" wrapText="1"/>
    </xf>
    <xf numFmtId="0" fontId="14" fillId="9" borderId="8" xfId="2" applyFont="1" applyFill="1" applyBorder="1" applyAlignment="1">
      <alignment horizontal="center" wrapText="1"/>
    </xf>
    <xf numFmtId="0" fontId="5" fillId="9" borderId="7" xfId="3" applyFont="1" applyFill="1" applyBorder="1" applyAlignment="1">
      <alignment horizontal="center"/>
    </xf>
    <xf numFmtId="0" fontId="5" fillId="9" borderId="0" xfId="3" applyFont="1" applyFill="1" applyBorder="1" applyAlignment="1">
      <alignment horizontal="center"/>
    </xf>
    <xf numFmtId="0" fontId="5" fillId="9" borderId="8" xfId="3" applyFont="1" applyFill="1" applyBorder="1" applyAlignment="1">
      <alignment horizontal="center"/>
    </xf>
    <xf numFmtId="0" fontId="5" fillId="9" borderId="7" xfId="3" applyFont="1" applyFill="1" applyBorder="1" applyAlignment="1">
      <alignment horizontal="left"/>
    </xf>
    <xf numFmtId="0" fontId="5" fillId="9" borderId="0" xfId="3" applyFont="1" applyFill="1" applyBorder="1" applyAlignment="1">
      <alignment horizontal="left"/>
    </xf>
    <xf numFmtId="0" fontId="5" fillId="9" borderId="8" xfId="3" applyFont="1" applyFill="1" applyBorder="1" applyAlignment="1">
      <alignment horizontal="left"/>
    </xf>
    <xf numFmtId="0" fontId="5" fillId="9" borderId="9" xfId="3" applyFont="1" applyFill="1" applyBorder="1" applyAlignment="1">
      <alignment horizontal="center"/>
    </xf>
    <xf numFmtId="0" fontId="5" fillId="9" borderId="10" xfId="3" applyFont="1" applyFill="1" applyBorder="1" applyAlignment="1">
      <alignment horizontal="center"/>
    </xf>
    <xf numFmtId="0" fontId="5" fillId="9" borderId="77" xfId="3" applyFont="1" applyFill="1" applyBorder="1" applyAlignment="1">
      <alignment horizontal="center"/>
    </xf>
    <xf numFmtId="0" fontId="14" fillId="9" borderId="7" xfId="2" applyFont="1" applyFill="1" applyBorder="1" applyAlignment="1">
      <alignment horizontal="center" vertical="center" wrapText="1"/>
    </xf>
    <xf numFmtId="0" fontId="14" fillId="9" borderId="8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left" vertical="center"/>
    </xf>
    <xf numFmtId="0" fontId="7" fillId="0" borderId="22" xfId="2" applyFont="1" applyFill="1" applyBorder="1" applyAlignment="1">
      <alignment horizontal="left" vertical="center"/>
    </xf>
    <xf numFmtId="0" fontId="7" fillId="0" borderId="7" xfId="13" applyFont="1" applyFill="1" applyBorder="1" applyAlignment="1">
      <alignment horizontal="center" vertical="top"/>
    </xf>
    <xf numFmtId="0" fontId="7" fillId="0" borderId="0" xfId="13" applyFont="1" applyFill="1" applyBorder="1" applyAlignment="1">
      <alignment horizontal="center" vertical="top"/>
    </xf>
    <xf numFmtId="0" fontId="7" fillId="0" borderId="8" xfId="13" applyFont="1" applyFill="1" applyBorder="1" applyAlignment="1">
      <alignment horizontal="center" vertical="top"/>
    </xf>
    <xf numFmtId="0" fontId="7" fillId="11" borderId="20" xfId="13" applyFont="1" applyFill="1" applyBorder="1" applyAlignment="1">
      <alignment horizontal="center" vertical="center"/>
    </xf>
    <xf numFmtId="0" fontId="7" fillId="11" borderId="13" xfId="13" applyFont="1" applyFill="1" applyBorder="1" applyAlignment="1">
      <alignment horizontal="center" vertical="center"/>
    </xf>
    <xf numFmtId="0" fontId="7" fillId="0" borderId="7" xfId="12" applyFont="1" applyFill="1" applyBorder="1" applyAlignment="1">
      <alignment horizontal="center"/>
    </xf>
    <xf numFmtId="0" fontId="7" fillId="0" borderId="0" xfId="12" applyFont="1" applyFill="1" applyBorder="1" applyAlignment="1">
      <alignment horizontal="center"/>
    </xf>
    <xf numFmtId="0" fontId="7" fillId="0" borderId="8" xfId="1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6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left" wrapText="1"/>
    </xf>
    <xf numFmtId="0" fontId="8" fillId="0" borderId="17" xfId="2" applyFont="1" applyFill="1" applyBorder="1" applyAlignment="1">
      <alignment horizontal="left" wrapText="1"/>
    </xf>
    <xf numFmtId="0" fontId="8" fillId="0" borderId="42" xfId="2" applyFont="1" applyFill="1" applyBorder="1" applyAlignment="1">
      <alignment horizontal="left" wrapText="1"/>
    </xf>
    <xf numFmtId="0" fontId="8" fillId="0" borderId="7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top"/>
    </xf>
    <xf numFmtId="0" fontId="8" fillId="0" borderId="19" xfId="2" applyFont="1" applyFill="1" applyBorder="1" applyAlignment="1">
      <alignment horizontal="left" vertical="top"/>
    </xf>
    <xf numFmtId="0" fontId="8" fillId="0" borderId="62" xfId="2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176" fontId="7" fillId="0" borderId="19" xfId="0" applyNumberFormat="1" applyFont="1" applyFill="1" applyBorder="1" applyAlignment="1"/>
    <xf numFmtId="176" fontId="7" fillId="0" borderId="62" xfId="0" applyNumberFormat="1" applyFont="1" applyFill="1" applyBorder="1" applyAlignment="1"/>
    <xf numFmtId="2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176" fontId="7" fillId="0" borderId="5" xfId="0" applyNumberFormat="1" applyFont="1" applyFill="1" applyBorder="1" applyAlignment="1"/>
    <xf numFmtId="176" fontId="7" fillId="0" borderId="6" xfId="0" applyNumberFormat="1" applyFont="1" applyFill="1" applyBorder="1" applyAlignment="1"/>
    <xf numFmtId="0" fontId="7" fillId="0" borderId="10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top"/>
    </xf>
    <xf numFmtId="176" fontId="5" fillId="0" borderId="8" xfId="0" applyNumberFormat="1" applyFont="1" applyFill="1" applyBorder="1" applyAlignment="1">
      <alignment vertical="top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/>
    <xf numFmtId="176" fontId="7" fillId="0" borderId="8" xfId="0" applyNumberFormat="1" applyFont="1" applyFill="1" applyBorder="1" applyAlignment="1"/>
    <xf numFmtId="0" fontId="7" fillId="0" borderId="18" xfId="0" applyFont="1" applyFill="1" applyBorder="1" applyAlignment="1"/>
    <xf numFmtId="0" fontId="7" fillId="0" borderId="19" xfId="0" applyFont="1" applyFill="1" applyBorder="1" applyAlignment="1"/>
    <xf numFmtId="176" fontId="5" fillId="0" borderId="17" xfId="0" applyNumberFormat="1" applyFont="1" applyFill="1" applyBorder="1" applyAlignment="1">
      <alignment vertical="top"/>
    </xf>
    <xf numFmtId="176" fontId="5" fillId="0" borderId="42" xfId="0" applyNumberFormat="1" applyFont="1" applyFill="1" applyBorder="1" applyAlignment="1">
      <alignment vertical="top"/>
    </xf>
    <xf numFmtId="175" fontId="7" fillId="0" borderId="7" xfId="0" applyNumberFormat="1" applyFont="1" applyFill="1" applyBorder="1" applyAlignment="1">
      <alignment horizontal="left" vertical="top"/>
    </xf>
    <xf numFmtId="175" fontId="7" fillId="0" borderId="4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8" fontId="5" fillId="0" borderId="45" xfId="4" applyNumberFormat="1" applyFont="1" applyFill="1" applyBorder="1" applyAlignment="1" applyProtection="1">
      <alignment horizontal="center" vertical="center"/>
    </xf>
    <xf numFmtId="168" fontId="5" fillId="0" borderId="49" xfId="4" applyNumberFormat="1" applyFont="1" applyFill="1" applyBorder="1" applyAlignment="1" applyProtection="1">
      <alignment horizontal="center" vertical="center"/>
    </xf>
    <xf numFmtId="0" fontId="7" fillId="0" borderId="39" xfId="3" applyFont="1" applyFill="1" applyBorder="1" applyAlignment="1">
      <alignment horizontal="right"/>
    </xf>
    <xf numFmtId="0" fontId="7" fillId="0" borderId="58" xfId="3" applyFont="1" applyFill="1" applyBorder="1" applyAlignment="1">
      <alignment horizontal="right"/>
    </xf>
    <xf numFmtId="0" fontId="7" fillId="0" borderId="59" xfId="3" applyFont="1" applyBorder="1" applyAlignment="1">
      <alignment horizontal="right"/>
    </xf>
    <xf numFmtId="0" fontId="7" fillId="0" borderId="60" xfId="3" applyFont="1" applyBorder="1" applyAlignment="1">
      <alignment horizontal="right"/>
    </xf>
    <xf numFmtId="164" fontId="7" fillId="2" borderId="0" xfId="2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76" xfId="3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168" fontId="5" fillId="0" borderId="13" xfId="4" applyNumberFormat="1" applyFont="1" applyFill="1" applyBorder="1" applyAlignment="1" applyProtection="1">
      <alignment horizontal="center" vertical="center"/>
    </xf>
    <xf numFmtId="0" fontId="7" fillId="0" borderId="40" xfId="3" applyFont="1" applyFill="1" applyBorder="1" applyAlignment="1">
      <alignment horizontal="right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horizontal="center" vertical="center"/>
    </xf>
    <xf numFmtId="0" fontId="7" fillId="7" borderId="8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top" wrapText="1"/>
    </xf>
    <xf numFmtId="0" fontId="7" fillId="2" borderId="0" xfId="2" applyFont="1" applyFill="1" applyBorder="1" applyAlignment="1">
      <alignment horizontal="center" vertical="top" wrapText="1"/>
    </xf>
  </cellXfs>
  <cellStyles count="15">
    <cellStyle name="Excel Built-in Normal" xfId="2"/>
    <cellStyle name="Excel Built-in Normal 1" xfId="9"/>
    <cellStyle name="Moeda" xfId="1" builtinId="4"/>
    <cellStyle name="Moeda 4" xfId="10"/>
    <cellStyle name="Normal" xfId="0" builtinId="0"/>
    <cellStyle name="Normal 2" xfId="3"/>
    <cellStyle name="Normal 4 4" xfId="13"/>
    <cellStyle name="Normal_COMPOSIÇÃO PEC 2" xfId="8"/>
    <cellStyle name="Normal_Ultimo orçamento enviado para caixa" xfId="7"/>
    <cellStyle name="Normal_Ultimo orçamento enviado para caixa 2" xfId="12"/>
    <cellStyle name="Porcentagem" xfId="14" builtinId="5"/>
    <cellStyle name="Porcentagem 2" xfId="11"/>
    <cellStyle name="Porcentagem 4" xfId="6"/>
    <cellStyle name="Separador de milhares 17" xfId="4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0</xdr:col>
      <xdr:colOff>781050</xdr:colOff>
      <xdr:row>1</xdr:row>
      <xdr:rowOff>137160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723900" cy="79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38100</xdr:rowOff>
    </xdr:from>
    <xdr:to>
      <xdr:col>1</xdr:col>
      <xdr:colOff>104775</xdr:colOff>
      <xdr:row>4</xdr:row>
      <xdr:rowOff>247650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28600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41910</xdr:rowOff>
    </xdr:from>
    <xdr:to>
      <xdr:col>0</xdr:col>
      <xdr:colOff>765810</xdr:colOff>
      <xdr:row>5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41935"/>
          <a:ext cx="697230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133350</xdr:colOff>
      <xdr:row>3</xdr:row>
      <xdr:rowOff>171450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733425</xdr:colOff>
      <xdr:row>3</xdr:row>
      <xdr:rowOff>171450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1</xdr:col>
      <xdr:colOff>249555</xdr:colOff>
      <xdr:row>4</xdr:row>
      <xdr:rowOff>158115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19075"/>
          <a:ext cx="697230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64770</xdr:rowOff>
    </xdr:from>
    <xdr:to>
      <xdr:col>1</xdr:col>
      <xdr:colOff>36195</xdr:colOff>
      <xdr:row>4</xdr:row>
      <xdr:rowOff>171450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" y="64770"/>
          <a:ext cx="92583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aoo\OneDrive\&#193;rea%20de%20Trabalho\PROJETOS\2020\20.0%20-%20Lama%20Asfaltica\77%20-%20LAMA%20ASFALTICA\4-MEDI&#199;&#195;O\4&#170;%20medi&#231;&#227;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OOBRAS\0002%20GEOBRAS%202006%20a%202020\ANO%202019\01-%20EM%20ANDAMENTO\77%20-%20LAMA%20ASFALTICA\1-LICITA&#199;&#195;O\Lama%20Asf&#225;ltica%20or&#231;amen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aoo\OneDrive\&#193;rea%20de%20Trabalho\PROJETOS\2020\20.0%20-%20Lama%20Asfaltica\77%20-%20LAMA%20ASFALTICA\1-LICITA&#199;&#195;O\Lama%20Asf&#225;ltica%20or&#231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. ORÇ. COM DES"/>
      <sheetName val="DESCRIÇÃO"/>
    </sheetNames>
    <sheetDataSet>
      <sheetData sheetId="0">
        <row r="7">
          <cell r="A7" t="str">
            <v>OBRA : RECUPERAÇÃO DE PAVIMENTAÇÃO COM APLICAÇÃO DE LAMA ASFÁLTICA (MÃO DE OBRA E EQUIPAMENTOS)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OBRA"/>
      <sheetName val="PLAN. ORÇ. COM DES"/>
      <sheetName val="DESCRIÇÃO"/>
      <sheetName val="C.F.F "/>
      <sheetName val="BDI COM DES"/>
      <sheetName val="COMP. LAMA"/>
      <sheetName val="COMP. MOBILIZAÇÃO"/>
    </sheetNames>
    <sheetDataSet>
      <sheetData sheetId="0" refreshError="1"/>
      <sheetData sheetId="1">
        <row r="2">
          <cell r="C2" t="str">
            <v>PREFEITURA MUNICIPAL DE ÁGUA BOA - MT</v>
          </cell>
        </row>
        <row r="7">
          <cell r="A7" t="str">
            <v>OBRA : RECUPERAÇÃO DE PAVIMENTAÇÃO COM APLICAÇÃO DE LAMA ASFÁLTICA (MÃO DE OBRA E EQUIPAMENTOS)</v>
          </cell>
        </row>
        <row r="9">
          <cell r="A9" t="str">
            <v xml:space="preserve">  </v>
          </cell>
        </row>
        <row r="12">
          <cell r="C12" t="str">
            <v>SERVIÇOS PRELIMINARES</v>
          </cell>
        </row>
        <row r="16">
          <cell r="C16" t="str">
            <v>LAMA ASFÁLTICA</v>
          </cell>
        </row>
      </sheetData>
      <sheetData sheetId="2" refreshError="1"/>
      <sheetData sheetId="3">
        <row r="7">
          <cell r="A7" t="str">
            <v>OBRA : RECUPERAÇÃO DE PAVIMENTAÇÃO COM APLICAÇÃO DE LAMA ASFÁLTICA (MÃO DE OBRA E EQUIPAMENTOS)</v>
          </cell>
        </row>
        <row r="8">
          <cell r="A8" t="str">
            <v>LOCAL: RUAS E AVENIDAS DO PERÍMETRO URBANO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OBRA"/>
      <sheetName val="PLAN. ORÇ. COM DES"/>
      <sheetName val="DESCRIÇÃO"/>
      <sheetName val="C.F.F "/>
      <sheetName val="BDI COM DES"/>
      <sheetName val="COMP. LAMA"/>
      <sheetName val="COMP. MOBILIZAÇÃO"/>
    </sheetNames>
    <sheetDataSet>
      <sheetData sheetId="0"/>
      <sheetData sheetId="1">
        <row r="3">
          <cell r="F3" t="str">
            <v>REFER.: SICRO I OUT/2018</v>
          </cell>
        </row>
      </sheetData>
      <sheetData sheetId="2"/>
      <sheetData sheetId="3"/>
      <sheetData sheetId="4"/>
      <sheetData sheetId="5">
        <row r="8">
          <cell r="A8" t="str">
            <v>E9605</v>
          </cell>
          <cell r="B8" t="str">
            <v>Caminhão tanque com capacidade de 6.000 l - 136 kW</v>
          </cell>
        </row>
        <row r="9">
          <cell r="A9" t="str">
            <v>E9584</v>
          </cell>
          <cell r="B9" t="str">
            <v>Carregadeira de pneus com capacidade de 1,53 m³ - 106 kW</v>
          </cell>
        </row>
        <row r="10">
          <cell r="A10" t="str">
            <v>E9558</v>
          </cell>
          <cell r="B10" t="str">
            <v>Tanque de estocagem de asfalto com capacidade de 30.000 l</v>
          </cell>
        </row>
        <row r="11">
          <cell r="A11" t="str">
            <v>E9577</v>
          </cell>
          <cell r="B11" t="str">
            <v>Trator agrícola - 77 kW</v>
          </cell>
        </row>
        <row r="12">
          <cell r="A12" t="str">
            <v>E9688</v>
          </cell>
          <cell r="B12" t="str">
            <v>Usina móvel de lama asfáltica montada sobre chassi com capacidade de 5 m³ - 25 kW/188 kW</v>
          </cell>
        </row>
        <row r="13">
          <cell r="A13" t="str">
            <v>E9544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workbookViewId="0">
      <selection activeCell="C32" sqref="C32"/>
    </sheetView>
  </sheetViews>
  <sheetFormatPr defaultRowHeight="15" x14ac:dyDescent="0.25"/>
  <cols>
    <col min="1" max="1" width="19" customWidth="1"/>
    <col min="2" max="2" width="11" customWidth="1"/>
    <col min="3" max="3" width="25.5703125" customWidth="1"/>
    <col min="4" max="4" width="23.140625" customWidth="1"/>
    <col min="6" max="8" width="10.140625" bestFit="1" customWidth="1"/>
  </cols>
  <sheetData>
    <row r="1" spans="1:8" ht="59.25" customHeight="1" x14ac:dyDescent="0.25">
      <c r="A1" s="432" t="s">
        <v>0</v>
      </c>
      <c r="B1" s="433"/>
      <c r="C1" s="433"/>
      <c r="D1" s="434"/>
    </row>
    <row r="2" spans="1:8" x14ac:dyDescent="0.25">
      <c r="A2" s="435"/>
      <c r="B2" s="436"/>
      <c r="C2" s="436"/>
      <c r="D2" s="437"/>
    </row>
    <row r="3" spans="1:8" ht="26.25" customHeight="1" x14ac:dyDescent="0.25">
      <c r="A3" s="438" t="str">
        <f>'[1]PLAN. ORÇ. COM DES'!$A$7</f>
        <v>OBRA : RECUPERAÇÃO DE PAVIMENTAÇÃO COM APLICAÇÃO DE LAMA ASFÁLTICA (MÃO DE OBRA E EQUIPAMENTOS)</v>
      </c>
      <c r="B3" s="439"/>
      <c r="C3" s="439"/>
      <c r="D3" s="440"/>
      <c r="G3" s="289"/>
    </row>
    <row r="4" spans="1:8" x14ac:dyDescent="0.25">
      <c r="A4" s="441" t="s">
        <v>1</v>
      </c>
      <c r="B4" s="442"/>
      <c r="C4" s="442"/>
      <c r="D4" s="443"/>
    </row>
    <row r="5" spans="1:8" x14ac:dyDescent="0.25">
      <c r="A5" s="438" t="s">
        <v>2</v>
      </c>
      <c r="B5" s="439"/>
      <c r="C5" s="439"/>
      <c r="D5" s="440"/>
    </row>
    <row r="6" spans="1:8" x14ac:dyDescent="0.25">
      <c r="A6" s="435" t="s">
        <v>3</v>
      </c>
      <c r="B6" s="436"/>
      <c r="C6" s="436"/>
      <c r="D6" s="437"/>
    </row>
    <row r="7" spans="1:8" ht="15.75" thickBot="1" x14ac:dyDescent="0.3">
      <c r="A7" s="444"/>
      <c r="B7" s="445"/>
      <c r="C7" s="445"/>
      <c r="D7" s="446"/>
    </row>
    <row r="8" spans="1:8" ht="15.75" thickBot="1" x14ac:dyDescent="0.3">
      <c r="A8" s="429" t="s">
        <v>8</v>
      </c>
      <c r="B8" s="430"/>
      <c r="C8" s="430"/>
      <c r="D8" s="431"/>
      <c r="H8" s="289"/>
    </row>
    <row r="9" spans="1:8" ht="26.25" thickBot="1" x14ac:dyDescent="0.3">
      <c r="A9" s="314" t="s">
        <v>4</v>
      </c>
      <c r="B9" s="295" t="s">
        <v>5</v>
      </c>
      <c r="C9" s="315" t="s">
        <v>6</v>
      </c>
      <c r="D9" s="316" t="s">
        <v>7</v>
      </c>
    </row>
    <row r="10" spans="1:8" x14ac:dyDescent="0.25">
      <c r="A10" s="327" t="s">
        <v>11</v>
      </c>
      <c r="B10" s="158">
        <f>172.66*7</f>
        <v>1208.6199999999999</v>
      </c>
      <c r="C10" s="292" t="s">
        <v>26</v>
      </c>
      <c r="D10" s="293" t="s">
        <v>27</v>
      </c>
      <c r="E10" s="324"/>
      <c r="G10" s="324"/>
    </row>
    <row r="11" spans="1:8" x14ac:dyDescent="0.25">
      <c r="A11" s="328" t="s">
        <v>208</v>
      </c>
      <c r="B11" s="161">
        <f>225.74*7</f>
        <v>1580.18</v>
      </c>
      <c r="C11" s="291" t="s">
        <v>24</v>
      </c>
      <c r="D11" s="170" t="s">
        <v>25</v>
      </c>
    </row>
    <row r="12" spans="1:8" x14ac:dyDescent="0.25">
      <c r="A12" s="328" t="s">
        <v>209</v>
      </c>
      <c r="B12" s="161">
        <f>330.26*7.5</f>
        <v>2476.9499999999998</v>
      </c>
      <c r="C12" s="291" t="s">
        <v>22</v>
      </c>
      <c r="D12" s="170" t="s">
        <v>23</v>
      </c>
      <c r="E12" s="325"/>
      <c r="G12" s="325"/>
    </row>
    <row r="13" spans="1:8" x14ac:dyDescent="0.25">
      <c r="A13" s="328" t="s">
        <v>210</v>
      </c>
      <c r="B13" s="161">
        <f>207.34*7.5</f>
        <v>1555.05</v>
      </c>
      <c r="C13" s="291" t="s">
        <v>20</v>
      </c>
      <c r="D13" s="170" t="s">
        <v>21</v>
      </c>
    </row>
    <row r="14" spans="1:8" ht="15" customHeight="1" x14ac:dyDescent="0.25">
      <c r="A14" s="328" t="s">
        <v>10</v>
      </c>
      <c r="B14" s="161">
        <f>388.14*7.5</f>
        <v>2911.0499999999997</v>
      </c>
      <c r="C14" s="291" t="s">
        <v>18</v>
      </c>
      <c r="D14" s="162" t="s">
        <v>19</v>
      </c>
    </row>
    <row r="15" spans="1:8" ht="13.5" customHeight="1" x14ac:dyDescent="0.25">
      <c r="A15" s="329" t="s">
        <v>9</v>
      </c>
      <c r="B15" s="165">
        <f>681.17*8</f>
        <v>5449.36</v>
      </c>
      <c r="C15" s="298" t="s">
        <v>150</v>
      </c>
      <c r="D15" s="159" t="s">
        <v>17</v>
      </c>
    </row>
    <row r="16" spans="1:8" ht="45" x14ac:dyDescent="0.25">
      <c r="A16" s="330" t="s">
        <v>235</v>
      </c>
      <c r="B16" s="165">
        <f>(30*10)+(2389.482-542.734)</f>
        <v>2146.748</v>
      </c>
      <c r="C16" s="299" t="s">
        <v>241</v>
      </c>
      <c r="D16" s="306" t="s">
        <v>242</v>
      </c>
    </row>
    <row r="17" spans="1:6" ht="45" x14ac:dyDescent="0.25">
      <c r="A17" s="330" t="s">
        <v>234</v>
      </c>
      <c r="B17" s="165">
        <f>(30*10)+(2389.482-542.734)</f>
        <v>2146.748</v>
      </c>
      <c r="C17" s="299" t="s">
        <v>243</v>
      </c>
      <c r="D17" s="306" t="s">
        <v>244</v>
      </c>
      <c r="F17" s="289"/>
    </row>
    <row r="18" spans="1:6" ht="60.75" thickBot="1" x14ac:dyDescent="0.3">
      <c r="A18" s="331" t="s">
        <v>236</v>
      </c>
      <c r="B18" s="355">
        <f>(30*10)+(2389.482-542.734)</f>
        <v>2146.748</v>
      </c>
      <c r="C18" s="299" t="s">
        <v>245</v>
      </c>
      <c r="D18" s="306" t="s">
        <v>246</v>
      </c>
    </row>
    <row r="19" spans="1:6" ht="15.75" thickBot="1" x14ac:dyDescent="0.3">
      <c r="A19" s="332" t="s">
        <v>133</v>
      </c>
      <c r="B19" s="333">
        <f>SUM(B10:B18)</f>
        <v>21621.453999999998</v>
      </c>
      <c r="C19" s="334"/>
      <c r="D19" s="335"/>
    </row>
    <row r="20" spans="1:6" ht="15.75" thickBot="1" x14ac:dyDescent="0.3">
      <c r="A20" s="426" t="s">
        <v>198</v>
      </c>
      <c r="B20" s="427"/>
      <c r="C20" s="427"/>
      <c r="D20" s="428"/>
    </row>
    <row r="21" spans="1:6" ht="26.25" thickBot="1" x14ac:dyDescent="0.3">
      <c r="A21" s="317" t="s">
        <v>4</v>
      </c>
      <c r="B21" s="318" t="s">
        <v>5</v>
      </c>
      <c r="C21" s="319" t="s">
        <v>6</v>
      </c>
      <c r="D21" s="320" t="s">
        <v>7</v>
      </c>
    </row>
    <row r="22" spans="1:6" ht="25.5" x14ac:dyDescent="0.25">
      <c r="A22" s="321" t="s">
        <v>201</v>
      </c>
      <c r="B22" s="322">
        <f>741.56*10</f>
        <v>7415.5999999999995</v>
      </c>
      <c r="C22" s="318" t="s">
        <v>196</v>
      </c>
      <c r="D22" s="323" t="s">
        <v>197</v>
      </c>
    </row>
    <row r="23" spans="1:6" x14ac:dyDescent="0.25">
      <c r="A23" s="409" t="s">
        <v>221</v>
      </c>
      <c r="B23" s="326">
        <v>9312.73</v>
      </c>
      <c r="C23" s="299" t="s">
        <v>224</v>
      </c>
      <c r="D23" s="306" t="s">
        <v>223</v>
      </c>
    </row>
    <row r="24" spans="1:6" x14ac:dyDescent="0.25">
      <c r="A24" s="409" t="s">
        <v>225</v>
      </c>
      <c r="B24" s="326">
        <f>(10*344.115)+(2389.482-542.734)</f>
        <v>5287.8980000000001</v>
      </c>
      <c r="C24" s="299" t="s">
        <v>237</v>
      </c>
      <c r="D24" s="306" t="s">
        <v>238</v>
      </c>
    </row>
    <row r="25" spans="1:6" x14ac:dyDescent="0.25">
      <c r="A25" s="329" t="s">
        <v>9</v>
      </c>
      <c r="B25" s="347">
        <f>438.88*10</f>
        <v>4388.8</v>
      </c>
      <c r="C25" s="299" t="s">
        <v>223</v>
      </c>
      <c r="D25" s="306" t="s">
        <v>222</v>
      </c>
    </row>
    <row r="26" spans="1:6" ht="15.75" thickBot="1" x14ac:dyDescent="0.3">
      <c r="A26" s="301" t="str">
        <f>A19</f>
        <v>TOTAL</v>
      </c>
      <c r="B26" s="297">
        <f>SUM(B22:B25)</f>
        <v>26405.027999999998</v>
      </c>
      <c r="C26" s="294"/>
      <c r="D26" s="302"/>
    </row>
    <row r="27" spans="1:6" ht="15.75" customHeight="1" thickBot="1" x14ac:dyDescent="0.3">
      <c r="A27" s="423" t="s">
        <v>199</v>
      </c>
      <c r="B27" s="424"/>
      <c r="C27" s="424"/>
      <c r="D27" s="425"/>
    </row>
    <row r="28" spans="1:6" ht="24" customHeight="1" x14ac:dyDescent="0.25">
      <c r="A28" s="317" t="s">
        <v>4</v>
      </c>
      <c r="B28" s="318" t="s">
        <v>5</v>
      </c>
      <c r="C28" s="319" t="s">
        <v>6</v>
      </c>
      <c r="D28" s="320" t="s">
        <v>7</v>
      </c>
    </row>
    <row r="29" spans="1:6" ht="29.25" customHeight="1" thickBot="1" x14ac:dyDescent="0.3">
      <c r="A29" s="312" t="s">
        <v>202</v>
      </c>
      <c r="B29" s="275">
        <f>1118.1*10</f>
        <v>11181</v>
      </c>
      <c r="C29" s="273" t="s">
        <v>203</v>
      </c>
      <c r="D29" s="274" t="s">
        <v>204</v>
      </c>
    </row>
    <row r="30" spans="1:6" ht="15" customHeight="1" thickBot="1" x14ac:dyDescent="0.3">
      <c r="A30" s="309" t="str">
        <f>A26</f>
        <v>TOTAL</v>
      </c>
      <c r="B30" s="311">
        <f>SUM(B29:B29)</f>
        <v>11181</v>
      </c>
      <c r="C30" s="296"/>
      <c r="D30" s="303"/>
    </row>
    <row r="31" spans="1:6" ht="15.75" thickBot="1" x14ac:dyDescent="0.3">
      <c r="A31" s="423" t="s">
        <v>205</v>
      </c>
      <c r="B31" s="424"/>
      <c r="C31" s="424"/>
      <c r="D31" s="425"/>
    </row>
    <row r="32" spans="1:6" ht="26.25" thickBot="1" x14ac:dyDescent="0.3">
      <c r="A32" s="314" t="s">
        <v>4</v>
      </c>
      <c r="B32" s="295" t="s">
        <v>5</v>
      </c>
      <c r="C32" s="315" t="s">
        <v>6</v>
      </c>
      <c r="D32" s="316" t="s">
        <v>7</v>
      </c>
    </row>
    <row r="33" spans="1:7" ht="25.5" x14ac:dyDescent="0.25">
      <c r="A33" s="336" t="s">
        <v>14</v>
      </c>
      <c r="B33" s="165">
        <f>167.369*7</f>
        <v>1171.5830000000001</v>
      </c>
      <c r="C33" s="270" t="s">
        <v>34</v>
      </c>
      <c r="D33" s="271" t="s">
        <v>35</v>
      </c>
    </row>
    <row r="34" spans="1:7" ht="25.5" x14ac:dyDescent="0.25">
      <c r="A34" s="328" t="s">
        <v>12</v>
      </c>
      <c r="B34" s="161">
        <f>304.4*7</f>
        <v>2130.7999999999997</v>
      </c>
      <c r="C34" s="163" t="s">
        <v>28</v>
      </c>
      <c r="D34" s="162" t="s">
        <v>29</v>
      </c>
    </row>
    <row r="35" spans="1:7" ht="25.5" x14ac:dyDescent="0.25">
      <c r="A35" s="328" t="s">
        <v>13</v>
      </c>
      <c r="B35" s="161">
        <f>420.81*7</f>
        <v>2945.67</v>
      </c>
      <c r="C35" s="163" t="s">
        <v>30</v>
      </c>
      <c r="D35" s="162" t="s">
        <v>31</v>
      </c>
    </row>
    <row r="36" spans="1:7" ht="25.5" x14ac:dyDescent="0.25">
      <c r="A36" s="329" t="s">
        <v>206</v>
      </c>
      <c r="B36" s="165">
        <f>60*7</f>
        <v>420</v>
      </c>
      <c r="C36" s="163" t="s">
        <v>32</v>
      </c>
      <c r="D36" s="162" t="s">
        <v>33</v>
      </c>
      <c r="F36" s="348"/>
    </row>
    <row r="37" spans="1:7" ht="30" x14ac:dyDescent="0.25">
      <c r="A37" s="307" t="s">
        <v>217</v>
      </c>
      <c r="B37" s="418">
        <f>652.601*10</f>
        <v>6526.01</v>
      </c>
      <c r="C37" s="339" t="s">
        <v>218</v>
      </c>
      <c r="D37" s="414" t="s">
        <v>219</v>
      </c>
      <c r="F37" s="324"/>
    </row>
    <row r="38" spans="1:7" ht="75" x14ac:dyDescent="0.25">
      <c r="A38" s="417" t="s">
        <v>264</v>
      </c>
      <c r="B38" s="355">
        <f>1278.194-104-74.8374</f>
        <v>1099.3566000000001</v>
      </c>
      <c r="C38" s="300" t="s">
        <v>262</v>
      </c>
      <c r="D38" s="304" t="s">
        <v>263</v>
      </c>
      <c r="F38" s="324"/>
    </row>
    <row r="39" spans="1:7" ht="15.75" thickBot="1" x14ac:dyDescent="0.3">
      <c r="A39" s="415" t="str">
        <f>A30</f>
        <v>TOTAL</v>
      </c>
      <c r="B39" s="416">
        <f>SUM(B33:B38)</f>
        <v>14293.419600000001</v>
      </c>
      <c r="C39" s="340"/>
      <c r="D39" s="341"/>
      <c r="F39" s="324"/>
      <c r="G39" s="289"/>
    </row>
    <row r="40" spans="1:7" ht="15.75" thickBot="1" x14ac:dyDescent="0.3">
      <c r="A40" s="423" t="s">
        <v>207</v>
      </c>
      <c r="B40" s="424"/>
      <c r="C40" s="424"/>
      <c r="D40" s="425"/>
    </row>
    <row r="41" spans="1:7" ht="27.75" customHeight="1" thickBot="1" x14ac:dyDescent="0.3">
      <c r="A41" s="314" t="s">
        <v>4</v>
      </c>
      <c r="B41" s="295" t="s">
        <v>5</v>
      </c>
      <c r="C41" s="315" t="s">
        <v>6</v>
      </c>
      <c r="D41" s="316" t="s">
        <v>7</v>
      </c>
      <c r="F41" s="324"/>
      <c r="G41" s="324"/>
    </row>
    <row r="42" spans="1:7" ht="27.75" customHeight="1" x14ac:dyDescent="0.25">
      <c r="A42" s="343" t="s">
        <v>215</v>
      </c>
      <c r="B42" s="167">
        <f>527.423*8</f>
        <v>4219.384</v>
      </c>
      <c r="C42" s="168" t="s">
        <v>36</v>
      </c>
      <c r="D42" s="169" t="s">
        <v>191</v>
      </c>
    </row>
    <row r="43" spans="1:7" ht="45" customHeight="1" x14ac:dyDescent="0.25">
      <c r="A43" s="344" t="s">
        <v>250</v>
      </c>
      <c r="B43" s="158">
        <f>1960.066-728.72</f>
        <v>1231.346</v>
      </c>
      <c r="C43" s="160" t="s">
        <v>251</v>
      </c>
      <c r="D43" s="170" t="s">
        <v>251</v>
      </c>
    </row>
    <row r="44" spans="1:7" ht="42" customHeight="1" x14ac:dyDescent="0.25">
      <c r="A44" s="344" t="s">
        <v>260</v>
      </c>
      <c r="B44" s="158">
        <f>1549.704-493.858</f>
        <v>1055.846</v>
      </c>
      <c r="C44" s="345" t="s">
        <v>252</v>
      </c>
      <c r="D44" s="293" t="s">
        <v>252</v>
      </c>
    </row>
    <row r="45" spans="1:7" ht="26.25" customHeight="1" x14ac:dyDescent="0.25">
      <c r="A45" s="312" t="s">
        <v>216</v>
      </c>
      <c r="B45" s="161">
        <f>527.423*8</f>
        <v>4219.384</v>
      </c>
      <c r="C45" s="164" t="s">
        <v>36</v>
      </c>
      <c r="D45" s="290" t="s">
        <v>192</v>
      </c>
    </row>
    <row r="46" spans="1:7" ht="25.5" customHeight="1" thickBot="1" x14ac:dyDescent="0.3">
      <c r="A46" s="272" t="s">
        <v>202</v>
      </c>
      <c r="B46" s="308">
        <f>1347.37*10</f>
        <v>13473.699999999999</v>
      </c>
      <c r="C46" s="163" t="s">
        <v>37</v>
      </c>
      <c r="D46" s="162" t="s">
        <v>233</v>
      </c>
    </row>
    <row r="47" spans="1:7" ht="15" customHeight="1" thickBot="1" x14ac:dyDescent="0.3">
      <c r="A47" s="309" t="str">
        <f>A39</f>
        <v>TOTAL</v>
      </c>
      <c r="B47" s="310">
        <f>SUM(B42:B46)</f>
        <v>24199.659999999996</v>
      </c>
      <c r="C47" s="294"/>
      <c r="D47" s="302"/>
    </row>
    <row r="48" spans="1:7" ht="15" customHeight="1" thickBot="1" x14ac:dyDescent="0.3">
      <c r="A48" s="423" t="s">
        <v>200</v>
      </c>
      <c r="B48" s="424"/>
      <c r="C48" s="424"/>
      <c r="D48" s="425"/>
    </row>
    <row r="49" spans="1:8" ht="26.25" thickBot="1" x14ac:dyDescent="0.3">
      <c r="A49" s="314" t="s">
        <v>4</v>
      </c>
      <c r="B49" s="295" t="s">
        <v>5</v>
      </c>
      <c r="C49" s="315" t="s">
        <v>6</v>
      </c>
      <c r="D49" s="316" t="s">
        <v>7</v>
      </c>
    </row>
    <row r="50" spans="1:8" ht="25.5" x14ac:dyDescent="0.25">
      <c r="A50" s="327" t="s">
        <v>211</v>
      </c>
      <c r="B50" s="158">
        <f>151*7</f>
        <v>1057</v>
      </c>
      <c r="C50" s="166" t="s">
        <v>46</v>
      </c>
      <c r="D50" s="159" t="s">
        <v>45</v>
      </c>
    </row>
    <row r="51" spans="1:8" ht="25.5" x14ac:dyDescent="0.25">
      <c r="A51" s="328" t="s">
        <v>212</v>
      </c>
      <c r="B51" s="161">
        <f>147.2*7</f>
        <v>1030.3999999999999</v>
      </c>
      <c r="C51" s="163" t="s">
        <v>47</v>
      </c>
      <c r="D51" s="162" t="s">
        <v>48</v>
      </c>
    </row>
    <row r="52" spans="1:8" ht="25.5" x14ac:dyDescent="0.25">
      <c r="A52" s="328" t="s">
        <v>16</v>
      </c>
      <c r="B52" s="161">
        <f>104.9*7</f>
        <v>734.30000000000007</v>
      </c>
      <c r="C52" s="163" t="s">
        <v>44</v>
      </c>
      <c r="D52" s="162" t="s">
        <v>45</v>
      </c>
    </row>
    <row r="53" spans="1:8" ht="25.5" x14ac:dyDescent="0.25">
      <c r="A53" s="328" t="s">
        <v>213</v>
      </c>
      <c r="B53" s="161">
        <f>70.5*7</f>
        <v>493.5</v>
      </c>
      <c r="C53" s="163" t="s">
        <v>42</v>
      </c>
      <c r="D53" s="162" t="s">
        <v>43</v>
      </c>
    </row>
    <row r="54" spans="1:8" ht="25.5" x14ac:dyDescent="0.25">
      <c r="A54" s="328" t="s">
        <v>15</v>
      </c>
      <c r="B54" s="161">
        <f>122.47*7</f>
        <v>857.29</v>
      </c>
      <c r="C54" s="163" t="s">
        <v>40</v>
      </c>
      <c r="D54" s="162" t="s">
        <v>41</v>
      </c>
    </row>
    <row r="55" spans="1:8" ht="26.25" thickBot="1" x14ac:dyDescent="0.3">
      <c r="A55" s="329" t="s">
        <v>214</v>
      </c>
      <c r="B55" s="165">
        <f>236.17*10</f>
        <v>2361.6999999999998</v>
      </c>
      <c r="C55" s="163" t="s">
        <v>38</v>
      </c>
      <c r="D55" s="162" t="s">
        <v>39</v>
      </c>
    </row>
    <row r="56" spans="1:8" ht="15.75" thickBot="1" x14ac:dyDescent="0.3">
      <c r="A56" s="332" t="str">
        <f>A47</f>
        <v>TOTAL</v>
      </c>
      <c r="B56" s="337">
        <f>SUM(B50:B55)</f>
        <v>6534.19</v>
      </c>
      <c r="C56" s="334"/>
      <c r="D56" s="335"/>
    </row>
    <row r="57" spans="1:8" ht="15.75" thickBot="1" x14ac:dyDescent="0.3">
      <c r="A57" s="423" t="s">
        <v>247</v>
      </c>
      <c r="B57" s="424"/>
      <c r="C57" s="424"/>
      <c r="D57" s="425"/>
    </row>
    <row r="58" spans="1:8" ht="25.5" x14ac:dyDescent="0.25">
      <c r="A58" s="317" t="s">
        <v>4</v>
      </c>
      <c r="B58" s="318" t="s">
        <v>5</v>
      </c>
      <c r="C58" s="319" t="s">
        <v>6</v>
      </c>
      <c r="D58" s="320" t="s">
        <v>7</v>
      </c>
    </row>
    <row r="59" spans="1:8" ht="30" x14ac:dyDescent="0.25">
      <c r="A59" s="305" t="s">
        <v>226</v>
      </c>
      <c r="B59" s="326">
        <f>1036.22*10</f>
        <v>10362.200000000001</v>
      </c>
      <c r="C59" s="299" t="s">
        <v>228</v>
      </c>
      <c r="D59" s="306" t="s">
        <v>229</v>
      </c>
    </row>
    <row r="60" spans="1:8" x14ac:dyDescent="0.25">
      <c r="A60" s="305" t="s">
        <v>261</v>
      </c>
      <c r="B60" s="326">
        <f>120.16*8</f>
        <v>961.28</v>
      </c>
      <c r="C60" s="313" t="s">
        <v>248</v>
      </c>
      <c r="D60" s="306" t="s">
        <v>249</v>
      </c>
    </row>
    <row r="61" spans="1:8" ht="30" x14ac:dyDescent="0.25">
      <c r="A61" s="305" t="s">
        <v>227</v>
      </c>
      <c r="B61" s="326">
        <f>1036.22*10</f>
        <v>10362.200000000001</v>
      </c>
      <c r="C61" s="313" t="s">
        <v>231</v>
      </c>
      <c r="D61" s="306" t="s">
        <v>230</v>
      </c>
    </row>
    <row r="62" spans="1:8" ht="15.75" thickBot="1" x14ac:dyDescent="0.3">
      <c r="A62" s="346" t="s">
        <v>220</v>
      </c>
      <c r="B62" s="347">
        <f>(54.784+1473.292)*10</f>
        <v>15280.76</v>
      </c>
      <c r="C62" s="299" t="s">
        <v>239</v>
      </c>
      <c r="D62" s="306" t="s">
        <v>240</v>
      </c>
      <c r="F62" s="289"/>
      <c r="H62" s="289"/>
    </row>
    <row r="63" spans="1:8" ht="15.75" thickBot="1" x14ac:dyDescent="0.3">
      <c r="A63" s="332" t="str">
        <f>A56</f>
        <v>TOTAL</v>
      </c>
      <c r="B63" s="333">
        <f>SUM(B59:B62)</f>
        <v>36966.44</v>
      </c>
      <c r="C63" s="334"/>
      <c r="D63" s="335"/>
    </row>
    <row r="64" spans="1:8" ht="15.75" thickBot="1" x14ac:dyDescent="0.3">
      <c r="A64" s="336"/>
      <c r="B64" s="334"/>
      <c r="C64" s="334"/>
      <c r="D64" s="335"/>
    </row>
    <row r="65" spans="1:10" ht="15.75" thickBot="1" x14ac:dyDescent="0.3">
      <c r="A65" s="338" t="s">
        <v>133</v>
      </c>
      <c r="B65" s="342">
        <f>B19+B26+B30+B39+B47+B56+B63</f>
        <v>141201.19159999999</v>
      </c>
      <c r="C65" s="334"/>
      <c r="D65" s="335"/>
    </row>
    <row r="66" spans="1:10" x14ac:dyDescent="0.25">
      <c r="A66" s="394"/>
      <c r="B66" s="358"/>
      <c r="C66" s="358"/>
      <c r="D66" s="391"/>
    </row>
    <row r="67" spans="1:10" x14ac:dyDescent="0.25">
      <c r="A67" s="394"/>
      <c r="B67" s="358"/>
      <c r="C67" s="358" t="str">
        <f>'RESUMO DA OBRA'!A18</f>
        <v>ÁGUA BOA - MT, JUNHO DE 2020.</v>
      </c>
      <c r="D67" s="391"/>
    </row>
    <row r="68" spans="1:10" x14ac:dyDescent="0.25">
      <c r="A68" s="419" t="s">
        <v>259</v>
      </c>
      <c r="B68" s="420"/>
      <c r="C68" s="358"/>
      <c r="D68" s="391"/>
      <c r="J68" s="289"/>
    </row>
    <row r="69" spans="1:10" x14ac:dyDescent="0.25">
      <c r="A69" s="419" t="s">
        <v>256</v>
      </c>
      <c r="B69" s="420"/>
      <c r="C69" s="358"/>
      <c r="D69" s="391"/>
    </row>
    <row r="70" spans="1:10" x14ac:dyDescent="0.25">
      <c r="A70" s="421" t="s">
        <v>257</v>
      </c>
      <c r="B70" s="422"/>
      <c r="C70" s="397"/>
      <c r="D70" s="391"/>
    </row>
    <row r="71" spans="1:10" x14ac:dyDescent="0.25">
      <c r="A71" s="394"/>
      <c r="B71" s="410"/>
      <c r="C71" s="413"/>
      <c r="D71" s="391"/>
    </row>
    <row r="72" spans="1:10" ht="15.75" thickBot="1" x14ac:dyDescent="0.3">
      <c r="A72" s="118"/>
      <c r="B72" s="119"/>
      <c r="C72" s="411"/>
      <c r="D72" s="120"/>
    </row>
  </sheetData>
  <mergeCells count="15">
    <mergeCell ref="A8:D8"/>
    <mergeCell ref="A1:D2"/>
    <mergeCell ref="A3:D3"/>
    <mergeCell ref="A4:D4"/>
    <mergeCell ref="A5:D5"/>
    <mergeCell ref="A6:D7"/>
    <mergeCell ref="A68:B68"/>
    <mergeCell ref="A69:B69"/>
    <mergeCell ref="A70:B70"/>
    <mergeCell ref="A57:D57"/>
    <mergeCell ref="A20:D20"/>
    <mergeCell ref="A27:D27"/>
    <mergeCell ref="A31:D31"/>
    <mergeCell ref="A40:D40"/>
    <mergeCell ref="A48:D48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C23" sqref="C23"/>
    </sheetView>
  </sheetViews>
  <sheetFormatPr defaultRowHeight="15" x14ac:dyDescent="0.25"/>
  <cols>
    <col min="2" max="2" width="28.28515625" customWidth="1"/>
    <col min="3" max="3" width="29.28515625" customWidth="1"/>
    <col min="4" max="4" width="26.5703125" customWidth="1"/>
  </cols>
  <sheetData>
    <row r="1" spans="1:4" x14ac:dyDescent="0.25">
      <c r="A1" s="43"/>
      <c r="B1" s="44"/>
      <c r="C1" s="44"/>
      <c r="D1" s="45"/>
    </row>
    <row r="2" spans="1:4" x14ac:dyDescent="0.25">
      <c r="A2" s="70"/>
      <c r="B2" s="447" t="str">
        <f>'[2]PLAN. ORÇ. COM DES'!C2:C4</f>
        <v>PREFEITURA MUNICIPAL DE ÁGUA BOA - MT</v>
      </c>
      <c r="C2" s="447"/>
      <c r="D2" s="71"/>
    </row>
    <row r="3" spans="1:4" x14ac:dyDescent="0.25">
      <c r="A3" s="72"/>
      <c r="B3" s="448"/>
      <c r="C3" s="448"/>
      <c r="D3" s="73"/>
    </row>
    <row r="4" spans="1:4" x14ac:dyDescent="0.25">
      <c r="A4" s="72"/>
      <c r="B4" s="448"/>
      <c r="C4" s="448"/>
      <c r="D4" s="73"/>
    </row>
    <row r="5" spans="1:4" ht="21" customHeight="1" x14ac:dyDescent="0.25">
      <c r="A5" s="74"/>
      <c r="B5" s="449" t="s">
        <v>119</v>
      </c>
      <c r="C5" s="449"/>
      <c r="D5" s="46"/>
    </row>
    <row r="6" spans="1:4" x14ac:dyDescent="0.25">
      <c r="A6" s="75"/>
      <c r="B6" s="47"/>
      <c r="C6" s="47"/>
      <c r="D6" s="48"/>
    </row>
    <row r="7" spans="1:4" ht="24.75" customHeight="1" x14ac:dyDescent="0.25">
      <c r="A7" s="455" t="str">
        <f>'[2]PLAN. ORÇ. COM DES'!A7</f>
        <v>OBRA : RECUPERAÇÃO DE PAVIMENTAÇÃO COM APLICAÇÃO DE LAMA ASFÁLTICA (MÃO DE OBRA E EQUIPAMENTOS)</v>
      </c>
      <c r="B7" s="456"/>
      <c r="C7" s="456"/>
      <c r="D7" s="457"/>
    </row>
    <row r="8" spans="1:4" x14ac:dyDescent="0.25">
      <c r="A8" s="450" t="s">
        <v>1</v>
      </c>
      <c r="B8" s="451"/>
      <c r="C8" s="451"/>
      <c r="D8" s="78"/>
    </row>
    <row r="9" spans="1:4" x14ac:dyDescent="0.25">
      <c r="A9" s="452" t="s">
        <v>2</v>
      </c>
      <c r="B9" s="453"/>
      <c r="C9" s="453"/>
      <c r="D9" s="79"/>
    </row>
    <row r="10" spans="1:4" x14ac:dyDescent="0.25">
      <c r="A10" s="75"/>
      <c r="B10" s="454"/>
      <c r="C10" s="454"/>
      <c r="D10" s="49"/>
    </row>
    <row r="11" spans="1:4" x14ac:dyDescent="0.25">
      <c r="A11" s="398" t="s">
        <v>54</v>
      </c>
      <c r="B11" s="252" t="s">
        <v>56</v>
      </c>
      <c r="C11" s="252" t="s">
        <v>120</v>
      </c>
      <c r="D11" s="399" t="s">
        <v>121</v>
      </c>
    </row>
    <row r="12" spans="1:4" x14ac:dyDescent="0.25">
      <c r="A12" s="400" t="s">
        <v>62</v>
      </c>
      <c r="B12" s="253" t="str">
        <f>'[2]PLAN. ORÇ. COM DES'!C12</f>
        <v>SERVIÇOS PRELIMINARES</v>
      </c>
      <c r="C12" s="254">
        <f>D12/$D$15</f>
        <v>7.837377215394517E-2</v>
      </c>
      <c r="D12" s="401">
        <f>'PLAN. ORÇ. COM DES.'!H12</f>
        <v>39985.130000000005</v>
      </c>
    </row>
    <row r="13" spans="1:4" x14ac:dyDescent="0.25">
      <c r="A13" s="402" t="s">
        <v>70</v>
      </c>
      <c r="B13" s="255" t="str">
        <f>'[2]PLAN. ORÇ. COM DES'!C16</f>
        <v>LAMA ASFÁLTICA</v>
      </c>
      <c r="C13" s="254">
        <f>D13/$D$15</f>
        <v>0.92162622784605486</v>
      </c>
      <c r="D13" s="401">
        <f>'PLAN. ORÇ. COM DES.'!H16</f>
        <v>470199.95999999996</v>
      </c>
    </row>
    <row r="14" spans="1:4" x14ac:dyDescent="0.25">
      <c r="A14" s="403"/>
      <c r="B14" s="256"/>
      <c r="C14" s="257"/>
      <c r="D14" s="404"/>
    </row>
    <row r="15" spans="1:4" x14ac:dyDescent="0.25">
      <c r="A15" s="405"/>
      <c r="B15" s="258" t="s">
        <v>122</v>
      </c>
      <c r="C15" s="259">
        <f>SUM(C12:C14)</f>
        <v>1</v>
      </c>
      <c r="D15" s="406">
        <f>SUM(D12:D13)</f>
        <v>510185.08999999997</v>
      </c>
    </row>
    <row r="16" spans="1:4" x14ac:dyDescent="0.25">
      <c r="A16" s="80"/>
      <c r="B16" s="66"/>
      <c r="C16" s="66"/>
      <c r="D16" s="67"/>
    </row>
    <row r="17" spans="1:4" x14ac:dyDescent="0.25">
      <c r="A17" s="81"/>
      <c r="B17" s="66"/>
      <c r="C17" s="66"/>
      <c r="D17" s="67"/>
    </row>
    <row r="18" spans="1:4" x14ac:dyDescent="0.25">
      <c r="A18" s="82" t="str">
        <f>'PLAN. ORÇ. COM DES.'!A24</f>
        <v>ÁGUA BOA - MT, JUNHO DE 2020.</v>
      </c>
      <c r="B18" s="83"/>
      <c r="C18" s="397" t="s">
        <v>258</v>
      </c>
      <c r="D18" s="407"/>
    </row>
    <row r="19" spans="1:4" x14ac:dyDescent="0.25">
      <c r="A19" s="81"/>
      <c r="B19" s="66"/>
      <c r="C19" s="392" t="s">
        <v>256</v>
      </c>
      <c r="D19" s="407"/>
    </row>
    <row r="20" spans="1:4" x14ac:dyDescent="0.25">
      <c r="A20" s="81"/>
      <c r="B20" s="66"/>
      <c r="C20" s="393" t="s">
        <v>257</v>
      </c>
      <c r="D20" s="408"/>
    </row>
    <row r="21" spans="1:4" ht="15.75" thickBot="1" x14ac:dyDescent="0.3">
      <c r="A21" s="84"/>
      <c r="B21" s="68"/>
      <c r="C21" s="85"/>
      <c r="D21" s="69"/>
    </row>
  </sheetData>
  <mergeCells count="6">
    <mergeCell ref="B2:C4"/>
    <mergeCell ref="B5:C5"/>
    <mergeCell ref="A8:C8"/>
    <mergeCell ref="A9:C9"/>
    <mergeCell ref="B10:C10"/>
    <mergeCell ref="A7:D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3" workbookViewId="0">
      <selection activeCell="C18" sqref="C18"/>
    </sheetView>
  </sheetViews>
  <sheetFormatPr defaultRowHeight="15" x14ac:dyDescent="0.25"/>
  <cols>
    <col min="1" max="1" width="12.85546875" customWidth="1"/>
    <col min="2" max="2" width="15" customWidth="1"/>
    <col min="3" max="3" width="65.5703125" customWidth="1"/>
    <col min="4" max="4" width="12.5703125" customWidth="1"/>
    <col min="5" max="5" width="14.28515625" customWidth="1"/>
    <col min="6" max="7" width="16.28515625" customWidth="1"/>
    <col min="8" max="8" width="23.7109375" bestFit="1" customWidth="1"/>
  </cols>
  <sheetData>
    <row r="1" spans="1:8" ht="15.75" thickBot="1" x14ac:dyDescent="0.3">
      <c r="A1" s="107"/>
      <c r="B1" s="1"/>
      <c r="C1" s="2"/>
      <c r="D1" s="3"/>
      <c r="E1" s="4"/>
      <c r="F1" s="5"/>
      <c r="G1" s="5"/>
      <c r="H1" s="6"/>
    </row>
    <row r="2" spans="1:8" ht="15" customHeight="1" x14ac:dyDescent="0.25">
      <c r="A2" s="108"/>
      <c r="B2" s="459" t="s">
        <v>49</v>
      </c>
      <c r="C2" s="459"/>
      <c r="D2" s="462"/>
      <c r="E2" s="462"/>
      <c r="F2" s="462"/>
      <c r="G2" s="462"/>
      <c r="H2" s="465"/>
    </row>
    <row r="3" spans="1:8" x14ac:dyDescent="0.25">
      <c r="A3" s="86"/>
      <c r="B3" s="460"/>
      <c r="C3" s="460"/>
      <c r="D3" s="463"/>
      <c r="E3" s="463"/>
      <c r="F3" s="468" t="s">
        <v>194</v>
      </c>
      <c r="G3" s="468"/>
      <c r="H3" s="466"/>
    </row>
    <row r="4" spans="1:8" x14ac:dyDescent="0.25">
      <c r="A4" s="86"/>
      <c r="B4" s="460"/>
      <c r="C4" s="460"/>
      <c r="D4" s="463"/>
      <c r="E4" s="463"/>
      <c r="F4" s="468" t="s">
        <v>232</v>
      </c>
      <c r="G4" s="468"/>
      <c r="H4" s="466"/>
    </row>
    <row r="5" spans="1:8" x14ac:dyDescent="0.25">
      <c r="A5" s="87"/>
      <c r="B5" s="461"/>
      <c r="C5" s="461"/>
      <c r="D5" s="464"/>
      <c r="E5" s="464"/>
      <c r="F5" s="469" t="s">
        <v>50</v>
      </c>
      <c r="G5" s="469"/>
      <c r="H5" s="467"/>
    </row>
    <row r="6" spans="1:8" x14ac:dyDescent="0.25">
      <c r="A6" s="88"/>
      <c r="B6" s="89"/>
      <c r="C6" s="7"/>
      <c r="D6" s="8"/>
      <c r="E6" s="9"/>
      <c r="F6" s="9"/>
      <c r="G6" s="9"/>
      <c r="H6" s="109"/>
    </row>
    <row r="7" spans="1:8" x14ac:dyDescent="0.25">
      <c r="A7" s="76" t="s">
        <v>51</v>
      </c>
      <c r="B7" s="77"/>
      <c r="C7" s="91"/>
      <c r="D7" s="77"/>
      <c r="E7" s="92"/>
      <c r="F7" s="93"/>
      <c r="G7" s="93"/>
      <c r="H7" s="110"/>
    </row>
    <row r="8" spans="1:8" x14ac:dyDescent="0.25">
      <c r="A8" s="450" t="s">
        <v>1</v>
      </c>
      <c r="B8" s="451"/>
      <c r="C8" s="451"/>
      <c r="D8" s="94"/>
      <c r="E8" s="276"/>
      <c r="F8" s="277"/>
      <c r="G8" s="95"/>
      <c r="H8" s="111"/>
    </row>
    <row r="9" spans="1:8" x14ac:dyDescent="0.25">
      <c r="A9" s="452" t="s">
        <v>52</v>
      </c>
      <c r="B9" s="453"/>
      <c r="C9" s="453"/>
      <c r="D9" s="96" t="s">
        <v>53</v>
      </c>
      <c r="E9" s="96"/>
      <c r="F9" s="278"/>
      <c r="G9" s="97"/>
      <c r="H9" s="112"/>
    </row>
    <row r="10" spans="1:8" x14ac:dyDescent="0.25">
      <c r="A10" s="98"/>
      <c r="B10" s="99"/>
      <c r="C10" s="458"/>
      <c r="D10" s="458"/>
      <c r="E10" s="458"/>
      <c r="F10" s="458"/>
      <c r="G10" s="10"/>
      <c r="H10" s="109"/>
    </row>
    <row r="11" spans="1:8" ht="38.25" x14ac:dyDescent="0.25">
      <c r="A11" s="11" t="s">
        <v>54</v>
      </c>
      <c r="B11" s="12" t="s">
        <v>55</v>
      </c>
      <c r="C11" s="12" t="s">
        <v>56</v>
      </c>
      <c r="D11" s="13" t="s">
        <v>57</v>
      </c>
      <c r="E11" s="13" t="s">
        <v>58</v>
      </c>
      <c r="F11" s="279" t="s">
        <v>59</v>
      </c>
      <c r="G11" s="14" t="s">
        <v>60</v>
      </c>
      <c r="H11" s="15" t="s">
        <v>61</v>
      </c>
    </row>
    <row r="12" spans="1:8" x14ac:dyDescent="0.25">
      <c r="A12" s="280" t="s">
        <v>62</v>
      </c>
      <c r="B12" s="281"/>
      <c r="C12" s="16" t="s">
        <v>63</v>
      </c>
      <c r="D12" s="17"/>
      <c r="E12" s="282"/>
      <c r="F12" s="283"/>
      <c r="G12" s="18"/>
      <c r="H12" s="19">
        <f>SUM(H13:H15)</f>
        <v>39985.130000000005</v>
      </c>
    </row>
    <row r="13" spans="1:8" ht="25.5" x14ac:dyDescent="0.25">
      <c r="A13" s="284" t="s">
        <v>64</v>
      </c>
      <c r="B13" s="285">
        <v>4813</v>
      </c>
      <c r="C13" s="286" t="s">
        <v>77</v>
      </c>
      <c r="D13" s="287" t="s">
        <v>65</v>
      </c>
      <c r="E13" s="287">
        <v>3.45</v>
      </c>
      <c r="F13" s="288">
        <v>300</v>
      </c>
      <c r="G13" s="23">
        <f>TRUNC((F13*1.2835),2)</f>
        <v>385.05</v>
      </c>
      <c r="H13" s="113">
        <f>TRUNC((G13*E13),2)</f>
        <v>1328.42</v>
      </c>
    </row>
    <row r="14" spans="1:8" ht="25.5" x14ac:dyDescent="0.25">
      <c r="A14" s="284" t="s">
        <v>66</v>
      </c>
      <c r="B14" s="285">
        <v>93584</v>
      </c>
      <c r="C14" s="286" t="s">
        <v>123</v>
      </c>
      <c r="D14" s="287" t="s">
        <v>65</v>
      </c>
      <c r="E14" s="287">
        <v>20</v>
      </c>
      <c r="F14" s="288">
        <v>530.65</v>
      </c>
      <c r="G14" s="23">
        <f>TRUNC((F14*1.2835),2)</f>
        <v>681.08</v>
      </c>
      <c r="H14" s="113">
        <f>TRUNC((G14*E14),2)</f>
        <v>13621.6</v>
      </c>
    </row>
    <row r="15" spans="1:8" x14ac:dyDescent="0.25">
      <c r="A15" s="20" t="s">
        <v>124</v>
      </c>
      <c r="B15" s="21" t="s">
        <v>67</v>
      </c>
      <c r="C15" s="286" t="s">
        <v>68</v>
      </c>
      <c r="D15" s="22" t="s">
        <v>69</v>
      </c>
      <c r="E15" s="22">
        <v>1</v>
      </c>
      <c r="F15" s="23">
        <f>TRUNC(('COMP. MOBILIZAÇÃO'!J30*2),2)</f>
        <v>19505.349999999999</v>
      </c>
      <c r="G15" s="23">
        <f>TRUNC((F15*1.2835),2)</f>
        <v>25035.11</v>
      </c>
      <c r="H15" s="114">
        <f>TRUNC((G15*E15),2)</f>
        <v>25035.11</v>
      </c>
    </row>
    <row r="16" spans="1:8" x14ac:dyDescent="0.25">
      <c r="A16" s="24" t="s">
        <v>70</v>
      </c>
      <c r="B16" s="25"/>
      <c r="C16" s="16" t="s">
        <v>71</v>
      </c>
      <c r="D16" s="26"/>
      <c r="E16" s="27"/>
      <c r="F16" s="28"/>
      <c r="G16" s="28"/>
      <c r="H16" s="19">
        <f>SUM(H17:H18)</f>
        <v>470199.95999999996</v>
      </c>
    </row>
    <row r="17" spans="1:10" x14ac:dyDescent="0.25">
      <c r="A17" s="20" t="s">
        <v>72</v>
      </c>
      <c r="B17" s="21">
        <v>99814</v>
      </c>
      <c r="C17" s="286" t="s">
        <v>73</v>
      </c>
      <c r="D17" s="22" t="s">
        <v>65</v>
      </c>
      <c r="E17" s="22">
        <f>'DESCRIÇÃO ÁREAS'!B65</f>
        <v>141201.19159999999</v>
      </c>
      <c r="F17" s="23">
        <v>1.29</v>
      </c>
      <c r="G17" s="23">
        <f>TRUNC((F17*1.2835),2)</f>
        <v>1.65</v>
      </c>
      <c r="H17" s="114">
        <f>TRUNC((G17*E17),2)</f>
        <v>232981.96</v>
      </c>
    </row>
    <row r="18" spans="1:10" x14ac:dyDescent="0.25">
      <c r="A18" s="29" t="s">
        <v>74</v>
      </c>
      <c r="B18" s="21">
        <v>4011406</v>
      </c>
      <c r="C18" s="286" t="s">
        <v>75</v>
      </c>
      <c r="D18" s="30" t="str">
        <f>D17</f>
        <v>M²</v>
      </c>
      <c r="E18" s="22">
        <f>E17</f>
        <v>141201.19159999999</v>
      </c>
      <c r="F18" s="31">
        <v>1.31</v>
      </c>
      <c r="G18" s="23">
        <f>TRUNC((F18*1.2835),2)</f>
        <v>1.68</v>
      </c>
      <c r="H18" s="114">
        <f>TRUNC((E18*G18),2)</f>
        <v>237218</v>
      </c>
      <c r="I18" s="412"/>
      <c r="J18" s="412"/>
    </row>
    <row r="19" spans="1:10" x14ac:dyDescent="0.25">
      <c r="A19" s="32"/>
      <c r="B19" s="33"/>
      <c r="C19" s="34"/>
      <c r="D19" s="35"/>
      <c r="E19" s="36"/>
      <c r="F19" s="37"/>
      <c r="G19" s="37"/>
      <c r="H19" s="115"/>
    </row>
    <row r="20" spans="1:10" x14ac:dyDescent="0.25">
      <c r="A20" s="38"/>
      <c r="B20" s="39"/>
      <c r="C20" s="40"/>
      <c r="D20" s="100"/>
      <c r="E20" s="101"/>
      <c r="F20" s="41"/>
      <c r="G20" s="41" t="s">
        <v>76</v>
      </c>
      <c r="H20" s="116">
        <f>SUM(H12:H18)/2</f>
        <v>510185.08999999997</v>
      </c>
    </row>
    <row r="21" spans="1:10" x14ac:dyDescent="0.25">
      <c r="A21" s="102"/>
      <c r="B21" s="103"/>
      <c r="C21" s="50"/>
      <c r="D21" s="51"/>
      <c r="E21" s="104"/>
      <c r="F21" s="104"/>
      <c r="G21" s="104"/>
      <c r="H21" s="117"/>
    </row>
    <row r="22" spans="1:10" x14ac:dyDescent="0.25">
      <c r="A22" s="105"/>
      <c r="B22" s="106"/>
      <c r="C22" s="52"/>
      <c r="D22" s="53"/>
      <c r="E22" s="90"/>
      <c r="F22" s="90"/>
      <c r="G22" s="90"/>
      <c r="H22" s="109"/>
    </row>
    <row r="23" spans="1:10" x14ac:dyDescent="0.25">
      <c r="A23" s="105"/>
      <c r="B23" s="106"/>
      <c r="C23" s="52"/>
      <c r="D23" s="420" t="s">
        <v>255</v>
      </c>
      <c r="E23" s="420"/>
      <c r="F23" s="90"/>
      <c r="G23" s="90"/>
      <c r="H23" s="109"/>
    </row>
    <row r="24" spans="1:10" x14ac:dyDescent="0.25">
      <c r="A24" s="105" t="s">
        <v>193</v>
      </c>
      <c r="B24" s="106"/>
      <c r="C24" s="52"/>
      <c r="D24" s="420" t="s">
        <v>256</v>
      </c>
      <c r="E24" s="420"/>
      <c r="F24" s="90"/>
      <c r="G24" s="90"/>
      <c r="H24" s="109"/>
    </row>
    <row r="25" spans="1:10" x14ac:dyDescent="0.25">
      <c r="A25" s="394"/>
      <c r="B25" s="358"/>
      <c r="C25" s="358"/>
      <c r="D25" s="422" t="s">
        <v>257</v>
      </c>
      <c r="E25" s="422"/>
      <c r="F25" s="358"/>
      <c r="G25" s="358"/>
      <c r="H25" s="391"/>
    </row>
    <row r="26" spans="1:10" x14ac:dyDescent="0.25">
      <c r="A26" s="394"/>
      <c r="B26" s="358"/>
      <c r="C26" s="358"/>
      <c r="D26" s="358"/>
      <c r="E26" s="358"/>
      <c r="F26" s="358"/>
      <c r="G26" s="358"/>
      <c r="H26" s="391"/>
    </row>
    <row r="27" spans="1:10" ht="15.75" thickBot="1" x14ac:dyDescent="0.3">
      <c r="A27" s="118"/>
      <c r="B27" s="119"/>
      <c r="C27" s="119"/>
      <c r="D27" s="119"/>
      <c r="E27" s="119"/>
      <c r="F27" s="119"/>
      <c r="G27" s="119"/>
      <c r="H27" s="120"/>
    </row>
  </sheetData>
  <mergeCells count="13">
    <mergeCell ref="A8:C8"/>
    <mergeCell ref="B2:C5"/>
    <mergeCell ref="D2:E5"/>
    <mergeCell ref="F2:G2"/>
    <mergeCell ref="H2:H5"/>
    <mergeCell ref="F3:G3"/>
    <mergeCell ref="F4:G4"/>
    <mergeCell ref="F5:G5"/>
    <mergeCell ref="D23:E23"/>
    <mergeCell ref="D24:E24"/>
    <mergeCell ref="D25:E25"/>
    <mergeCell ref="A9:C9"/>
    <mergeCell ref="C10:F10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G24" sqref="G24"/>
    </sheetView>
  </sheetViews>
  <sheetFormatPr defaultRowHeight="15" x14ac:dyDescent="0.25"/>
  <cols>
    <col min="1" max="1" width="9.140625" customWidth="1"/>
    <col min="2" max="2" width="17.5703125" customWidth="1"/>
    <col min="3" max="3" width="17.42578125" customWidth="1"/>
    <col min="4" max="4" width="11.28515625" bestFit="1" customWidth="1"/>
    <col min="5" max="6" width="14.28515625" bestFit="1" customWidth="1"/>
    <col min="7" max="7" width="14.42578125" customWidth="1"/>
    <col min="8" max="8" width="14.140625" customWidth="1"/>
    <col min="9" max="10" width="11.5703125" bestFit="1" customWidth="1"/>
  </cols>
  <sheetData>
    <row r="1" spans="1:10" ht="15" customHeight="1" x14ac:dyDescent="0.25">
      <c r="A1" s="473" t="s">
        <v>79</v>
      </c>
      <c r="B1" s="474"/>
      <c r="C1" s="474"/>
      <c r="D1" s="474"/>
      <c r="E1" s="474"/>
      <c r="F1" s="474"/>
      <c r="G1" s="474"/>
      <c r="H1" s="474"/>
      <c r="I1" s="474"/>
      <c r="J1" s="475"/>
    </row>
    <row r="2" spans="1:10" x14ac:dyDescent="0.25">
      <c r="A2" s="476"/>
      <c r="B2" s="477"/>
      <c r="C2" s="477"/>
      <c r="D2" s="477"/>
      <c r="E2" s="477"/>
      <c r="F2" s="477"/>
      <c r="G2" s="477"/>
      <c r="H2" s="477"/>
      <c r="I2" s="477"/>
      <c r="J2" s="478"/>
    </row>
    <row r="3" spans="1:10" x14ac:dyDescent="0.25">
      <c r="A3" s="479"/>
      <c r="B3" s="480"/>
      <c r="C3" s="480"/>
      <c r="D3" s="480"/>
      <c r="E3" s="480"/>
      <c r="F3" s="480"/>
      <c r="G3" s="480"/>
      <c r="H3" s="480"/>
      <c r="I3" s="480"/>
      <c r="J3" s="481"/>
    </row>
    <row r="4" spans="1:10" ht="15" customHeight="1" x14ac:dyDescent="0.25">
      <c r="A4" s="488" t="s">
        <v>125</v>
      </c>
      <c r="B4" s="448"/>
      <c r="C4" s="448"/>
      <c r="D4" s="448"/>
      <c r="E4" s="448"/>
      <c r="F4" s="448"/>
      <c r="G4" s="448"/>
      <c r="H4" s="448"/>
      <c r="I4" s="448"/>
      <c r="J4" s="489"/>
    </row>
    <row r="5" spans="1:10" x14ac:dyDescent="0.25">
      <c r="A5" s="482"/>
      <c r="B5" s="483"/>
      <c r="C5" s="483"/>
      <c r="D5" s="483"/>
      <c r="E5" s="483"/>
      <c r="F5" s="483"/>
      <c r="G5" s="483"/>
      <c r="H5" s="483"/>
      <c r="I5" s="483"/>
      <c r="J5" s="484"/>
    </row>
    <row r="6" spans="1:10" x14ac:dyDescent="0.25">
      <c r="A6" s="490" t="s">
        <v>51</v>
      </c>
      <c r="B6" s="491"/>
      <c r="C6" s="491"/>
      <c r="D6" s="491"/>
      <c r="E6" s="491"/>
      <c r="F6" s="491"/>
      <c r="G6" s="491"/>
      <c r="H6" s="491"/>
      <c r="I6" s="491"/>
      <c r="J6" s="492"/>
    </row>
    <row r="7" spans="1:10" x14ac:dyDescent="0.25">
      <c r="A7" s="490" t="s">
        <v>1</v>
      </c>
      <c r="B7" s="491"/>
      <c r="C7" s="491"/>
      <c r="D7" s="491"/>
      <c r="E7" s="491"/>
      <c r="F7" s="491"/>
      <c r="G7" s="491"/>
      <c r="H7" s="491"/>
      <c r="I7" s="491"/>
      <c r="J7" s="492"/>
    </row>
    <row r="8" spans="1:10" x14ac:dyDescent="0.25">
      <c r="A8" s="470" t="s">
        <v>2</v>
      </c>
      <c r="B8" s="471"/>
      <c r="C8" s="471"/>
      <c r="D8" s="471"/>
      <c r="E8" s="471"/>
      <c r="F8" s="471"/>
      <c r="G8" s="471"/>
      <c r="H8" s="471"/>
      <c r="I8" s="471"/>
      <c r="J8" s="472"/>
    </row>
    <row r="9" spans="1:10" x14ac:dyDescent="0.25">
      <c r="A9" s="485"/>
      <c r="B9" s="486"/>
      <c r="C9" s="486"/>
      <c r="D9" s="486"/>
      <c r="E9" s="486"/>
      <c r="F9" s="486"/>
      <c r="G9" s="486"/>
      <c r="H9" s="486"/>
      <c r="I9" s="486"/>
      <c r="J9" s="487"/>
    </row>
    <row r="10" spans="1:10" x14ac:dyDescent="0.25">
      <c r="A10" s="380" t="s">
        <v>54</v>
      </c>
      <c r="B10" s="360" t="s">
        <v>126</v>
      </c>
      <c r="C10" s="360" t="s">
        <v>127</v>
      </c>
      <c r="D10" s="360" t="s">
        <v>128</v>
      </c>
      <c r="E10" s="360" t="s">
        <v>129</v>
      </c>
      <c r="F10" s="360" t="s">
        <v>130</v>
      </c>
      <c r="G10" s="360" t="s">
        <v>131</v>
      </c>
      <c r="H10" s="360" t="s">
        <v>132</v>
      </c>
      <c r="I10" s="360" t="s">
        <v>253</v>
      </c>
      <c r="J10" s="381" t="s">
        <v>254</v>
      </c>
    </row>
    <row r="11" spans="1:10" x14ac:dyDescent="0.25">
      <c r="A11" s="382"/>
      <c r="B11" s="361"/>
      <c r="C11" s="361"/>
      <c r="D11" s="361"/>
      <c r="E11" s="361"/>
      <c r="F11" s="361"/>
      <c r="G11" s="361"/>
      <c r="H11" s="361"/>
      <c r="I11" s="362"/>
      <c r="J11" s="383"/>
    </row>
    <row r="12" spans="1:10" ht="25.5" customHeight="1" x14ac:dyDescent="0.25">
      <c r="A12" s="384" t="s">
        <v>62</v>
      </c>
      <c r="B12" s="364" t="str">
        <f>'PLAN. ORÇ. COM DES.'!C12</f>
        <v>SERVIÇOS PRELIMINARES</v>
      </c>
      <c r="C12" s="365">
        <f>'PLAN. ORÇ. COM DES.'!H12</f>
        <v>39985.130000000005</v>
      </c>
      <c r="D12" s="363" t="s">
        <v>120</v>
      </c>
      <c r="E12" s="366">
        <v>0.2</v>
      </c>
      <c r="F12" s="366">
        <v>0.2</v>
      </c>
      <c r="G12" s="366">
        <v>0.2</v>
      </c>
      <c r="H12" s="366">
        <v>0.2</v>
      </c>
      <c r="I12" s="366">
        <v>0.1</v>
      </c>
      <c r="J12" s="385">
        <v>0.1</v>
      </c>
    </row>
    <row r="13" spans="1:10" x14ac:dyDescent="0.25">
      <c r="A13" s="386"/>
      <c r="B13" s="368"/>
      <c r="C13" s="369"/>
      <c r="D13" s="367" t="s">
        <v>95</v>
      </c>
      <c r="E13" s="370">
        <f>+E12*C12</f>
        <v>7997.0260000000017</v>
      </c>
      <c r="F13" s="371">
        <f>+F12*C12</f>
        <v>7997.0260000000017</v>
      </c>
      <c r="G13" s="371">
        <f>+G12*C12</f>
        <v>7997.0260000000017</v>
      </c>
      <c r="H13" s="371">
        <f>+H12*C12</f>
        <v>7997.0260000000017</v>
      </c>
      <c r="I13" s="372">
        <f>+I12*C12</f>
        <v>3998.5130000000008</v>
      </c>
      <c r="J13" s="387">
        <f>+J12*C12</f>
        <v>3998.5130000000008</v>
      </c>
    </row>
    <row r="14" spans="1:10" x14ac:dyDescent="0.25">
      <c r="A14" s="384" t="s">
        <v>70</v>
      </c>
      <c r="B14" s="364" t="str">
        <f>'PLAN. ORÇ. COM DES.'!C16</f>
        <v>LAMA ASFÁLTICA</v>
      </c>
      <c r="C14" s="365">
        <f>'PLAN. ORÇ. COM DES.'!H16</f>
        <v>470199.95999999996</v>
      </c>
      <c r="D14" s="363" t="s">
        <v>120</v>
      </c>
      <c r="E14" s="366">
        <v>0.2</v>
      </c>
      <c r="F14" s="366">
        <v>0.2</v>
      </c>
      <c r="G14" s="366">
        <v>0.2</v>
      </c>
      <c r="H14" s="366">
        <v>0.2</v>
      </c>
      <c r="I14" s="366">
        <v>0.1</v>
      </c>
      <c r="J14" s="385">
        <v>0.1</v>
      </c>
    </row>
    <row r="15" spans="1:10" x14ac:dyDescent="0.25">
      <c r="A15" s="386"/>
      <c r="B15" s="368"/>
      <c r="C15" s="369"/>
      <c r="D15" s="367" t="s">
        <v>95</v>
      </c>
      <c r="E15" s="370">
        <f>+E14*C14</f>
        <v>94039.991999999998</v>
      </c>
      <c r="F15" s="371">
        <f>+F14*C14</f>
        <v>94039.991999999998</v>
      </c>
      <c r="G15" s="371">
        <f>+G14*C14</f>
        <v>94039.991999999998</v>
      </c>
      <c r="H15" s="371">
        <f>+H14*C14</f>
        <v>94039.991999999998</v>
      </c>
      <c r="I15" s="372">
        <f>+I14*C14</f>
        <v>47019.995999999999</v>
      </c>
      <c r="J15" s="387">
        <f>+J14*C14</f>
        <v>47019.995999999999</v>
      </c>
    </row>
    <row r="16" spans="1:10" x14ac:dyDescent="0.25">
      <c r="A16" s="388"/>
      <c r="B16" s="373"/>
      <c r="C16" s="374"/>
      <c r="D16" s="359"/>
      <c r="E16" s="370"/>
      <c r="F16" s="370"/>
      <c r="G16" s="370"/>
      <c r="H16" s="370"/>
      <c r="I16" s="362"/>
      <c r="J16" s="383"/>
    </row>
    <row r="17" spans="1:10" x14ac:dyDescent="0.25">
      <c r="A17" s="389"/>
      <c r="B17" s="375" t="s">
        <v>133</v>
      </c>
      <c r="C17" s="376">
        <f>SUM(C12:C15)</f>
        <v>510185.08999999997</v>
      </c>
      <c r="D17" s="377" t="s">
        <v>134</v>
      </c>
      <c r="E17" s="376">
        <f t="shared" ref="E17:J17" si="0">E15+E13</f>
        <v>102037.018</v>
      </c>
      <c r="F17" s="376">
        <f t="shared" si="0"/>
        <v>102037.018</v>
      </c>
      <c r="G17" s="376">
        <f t="shared" si="0"/>
        <v>102037.018</v>
      </c>
      <c r="H17" s="376">
        <f t="shared" si="0"/>
        <v>102037.018</v>
      </c>
      <c r="I17" s="378">
        <f t="shared" si="0"/>
        <v>51018.508999999998</v>
      </c>
      <c r="J17" s="390">
        <f t="shared" si="0"/>
        <v>51018.508999999998</v>
      </c>
    </row>
    <row r="18" spans="1:10" x14ac:dyDescent="0.25">
      <c r="A18" s="54"/>
      <c r="B18" s="55"/>
      <c r="C18" s="55"/>
      <c r="D18" s="377" t="s">
        <v>135</v>
      </c>
      <c r="E18" s="376">
        <f>+E17</f>
        <v>102037.018</v>
      </c>
      <c r="F18" s="376">
        <f>+E18+F17</f>
        <v>204074.03599999999</v>
      </c>
      <c r="G18" s="376">
        <f>+F18+G17</f>
        <v>306111.054</v>
      </c>
      <c r="H18" s="376">
        <f>+G18+H17</f>
        <v>408148.07199999999</v>
      </c>
      <c r="I18" s="378">
        <f>H18+I17</f>
        <v>459166.58100000001</v>
      </c>
      <c r="J18" s="390">
        <f>I18+J17</f>
        <v>510185.09</v>
      </c>
    </row>
    <row r="19" spans="1:10" x14ac:dyDescent="0.25">
      <c r="A19" s="56"/>
      <c r="B19" s="57"/>
      <c r="C19" s="58"/>
      <c r="D19" s="375" t="s">
        <v>120</v>
      </c>
      <c r="E19" s="379">
        <f>+E17/$C$17</f>
        <v>0.2</v>
      </c>
      <c r="F19" s="379">
        <f>+F17/$C$17</f>
        <v>0.2</v>
      </c>
      <c r="G19" s="379">
        <f>+G17/$C$17</f>
        <v>0.2</v>
      </c>
      <c r="H19" s="379">
        <f>+H17/$C$17</f>
        <v>0.2</v>
      </c>
      <c r="I19" s="395">
        <f>+I17/C17</f>
        <v>0.1</v>
      </c>
      <c r="J19" s="396">
        <f>+J17/C17</f>
        <v>0.1</v>
      </c>
    </row>
    <row r="20" spans="1:10" x14ac:dyDescent="0.25">
      <c r="A20" s="173"/>
      <c r="B20" s="171"/>
      <c r="C20" s="171"/>
      <c r="D20" s="171"/>
      <c r="E20" s="171"/>
      <c r="F20" s="171"/>
      <c r="G20" s="171"/>
      <c r="H20" s="171"/>
      <c r="I20" s="358"/>
      <c r="J20" s="391"/>
    </row>
    <row r="21" spans="1:10" x14ac:dyDescent="0.25">
      <c r="A21" s="173" t="str">
        <f>'PLAN. ORÇ. COM DES.'!A24</f>
        <v>ÁGUA BOA - MT, JUNHO DE 2020.</v>
      </c>
      <c r="B21" s="171"/>
      <c r="C21" s="171"/>
      <c r="D21" s="171"/>
      <c r="E21" s="171"/>
      <c r="F21" s="171"/>
      <c r="G21" s="171"/>
      <c r="H21" s="171"/>
      <c r="I21" s="358"/>
      <c r="J21" s="391"/>
    </row>
    <row r="22" spans="1:10" x14ac:dyDescent="0.25">
      <c r="A22" s="173"/>
      <c r="B22" s="171"/>
      <c r="C22" s="171"/>
      <c r="D22" s="420" t="s">
        <v>255</v>
      </c>
      <c r="E22" s="420"/>
      <c r="F22" s="171"/>
      <c r="G22" s="171"/>
      <c r="H22" s="171"/>
      <c r="I22" s="358"/>
      <c r="J22" s="391"/>
    </row>
    <row r="23" spans="1:10" x14ac:dyDescent="0.25">
      <c r="A23" s="173"/>
      <c r="B23" s="171"/>
      <c r="C23" s="171"/>
      <c r="D23" s="420" t="s">
        <v>256</v>
      </c>
      <c r="E23" s="420"/>
      <c r="F23" s="171"/>
      <c r="G23" s="171"/>
      <c r="H23" s="171"/>
      <c r="I23" s="358"/>
      <c r="J23" s="391"/>
    </row>
    <row r="24" spans="1:10" x14ac:dyDescent="0.25">
      <c r="A24" s="394"/>
      <c r="B24" s="358"/>
      <c r="C24" s="358"/>
      <c r="D24" s="422" t="s">
        <v>257</v>
      </c>
      <c r="E24" s="422"/>
      <c r="F24" s="358"/>
      <c r="G24" s="358"/>
      <c r="H24" s="358"/>
      <c r="I24" s="358"/>
      <c r="J24" s="391"/>
    </row>
    <row r="25" spans="1:10" x14ac:dyDescent="0.25">
      <c r="A25" s="394"/>
      <c r="B25" s="358"/>
      <c r="C25" s="358"/>
      <c r="D25" s="358"/>
      <c r="E25" s="358"/>
      <c r="F25" s="358"/>
      <c r="G25" s="358"/>
      <c r="H25" s="358"/>
      <c r="I25" s="358"/>
      <c r="J25" s="391"/>
    </row>
    <row r="26" spans="1:10" ht="15.75" thickBot="1" x14ac:dyDescent="0.3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</sheetData>
  <mergeCells count="12">
    <mergeCell ref="D23:E23"/>
    <mergeCell ref="D24:E24"/>
    <mergeCell ref="D22:E22"/>
    <mergeCell ref="A8:J8"/>
    <mergeCell ref="A1:J1"/>
    <mergeCell ref="A2:J2"/>
    <mergeCell ref="A3:J3"/>
    <mergeCell ref="A5:J5"/>
    <mergeCell ref="A9:J9"/>
    <mergeCell ref="A4:J4"/>
    <mergeCell ref="A6:J6"/>
    <mergeCell ref="A7:J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C12" sqref="C12"/>
    </sheetView>
  </sheetViews>
  <sheetFormatPr defaultRowHeight="15" x14ac:dyDescent="0.25"/>
  <cols>
    <col min="1" max="1" width="18.140625" customWidth="1"/>
    <col min="2" max="2" width="24.5703125" customWidth="1"/>
    <col min="3" max="3" width="24" customWidth="1"/>
  </cols>
  <sheetData>
    <row r="1" spans="1:3" ht="15" customHeight="1" x14ac:dyDescent="0.25">
      <c r="A1" s="501" t="s">
        <v>79</v>
      </c>
      <c r="B1" s="502"/>
      <c r="C1" s="503"/>
    </row>
    <row r="2" spans="1:3" ht="15" customHeight="1" x14ac:dyDescent="0.25">
      <c r="A2" s="504"/>
      <c r="B2" s="505"/>
      <c r="C2" s="506"/>
    </row>
    <row r="3" spans="1:3" x14ac:dyDescent="0.25">
      <c r="A3" s="504"/>
      <c r="B3" s="505"/>
      <c r="C3" s="506"/>
    </row>
    <row r="4" spans="1:3" ht="14.25" customHeight="1" x14ac:dyDescent="0.25">
      <c r="A4" s="507" t="s">
        <v>151</v>
      </c>
      <c r="B4" s="508"/>
      <c r="C4" s="509"/>
    </row>
    <row r="5" spans="1:3" ht="26.25" customHeight="1" x14ac:dyDescent="0.25">
      <c r="A5" s="510" t="str">
        <f>'[2]C.F.F '!A7</f>
        <v>OBRA : RECUPERAÇÃO DE PAVIMENTAÇÃO COM APLICAÇÃO DE LAMA ASFÁLTICA (MÃO DE OBRA E EQUIPAMENTOS)</v>
      </c>
      <c r="B5" s="511"/>
      <c r="C5" s="512"/>
    </row>
    <row r="6" spans="1:3" x14ac:dyDescent="0.25">
      <c r="A6" s="513" t="str">
        <f>'[2]C.F.F '!A8</f>
        <v>LOCAL: RUAS E AVENIDAS DO PERÍMETRO URBANO</v>
      </c>
      <c r="B6" s="514"/>
      <c r="C6" s="515"/>
    </row>
    <row r="7" spans="1:3" x14ac:dyDescent="0.25">
      <c r="A7" s="516" t="str">
        <f>'[2]PLAN. ORÇ. COM DES'!A9:C9</f>
        <v xml:space="preserve">  </v>
      </c>
      <c r="B7" s="517"/>
      <c r="C7" s="518"/>
    </row>
    <row r="8" spans="1:3" x14ac:dyDescent="0.25">
      <c r="A8" s="498" t="s">
        <v>136</v>
      </c>
      <c r="B8" s="499"/>
      <c r="C8" s="500"/>
    </row>
    <row r="9" spans="1:3" x14ac:dyDescent="0.25">
      <c r="A9" s="493" t="s">
        <v>137</v>
      </c>
      <c r="B9" s="494"/>
      <c r="C9" s="495"/>
    </row>
    <row r="10" spans="1:3" x14ac:dyDescent="0.25">
      <c r="A10" s="496"/>
      <c r="B10" s="497" t="s">
        <v>138</v>
      </c>
      <c r="C10" s="59" t="s">
        <v>139</v>
      </c>
    </row>
    <row r="11" spans="1:3" x14ac:dyDescent="0.25">
      <c r="A11" s="496"/>
      <c r="B11" s="497"/>
      <c r="C11" s="59" t="s">
        <v>120</v>
      </c>
    </row>
    <row r="12" spans="1:3" x14ac:dyDescent="0.25">
      <c r="A12" s="60"/>
      <c r="B12" s="62" t="s">
        <v>140</v>
      </c>
      <c r="C12" s="61">
        <v>4</v>
      </c>
    </row>
    <row r="13" spans="1:3" x14ac:dyDescent="0.25">
      <c r="A13" s="60"/>
      <c r="B13" s="62" t="s">
        <v>141</v>
      </c>
      <c r="C13" s="61">
        <v>1.23</v>
      </c>
    </row>
    <row r="14" spans="1:3" x14ac:dyDescent="0.25">
      <c r="A14" s="60"/>
      <c r="B14" s="62" t="s">
        <v>142</v>
      </c>
      <c r="C14" s="61">
        <v>1.27</v>
      </c>
    </row>
    <row r="15" spans="1:3" x14ac:dyDescent="0.25">
      <c r="A15" s="60"/>
      <c r="B15" s="62" t="s">
        <v>143</v>
      </c>
      <c r="C15" s="61">
        <v>0.8</v>
      </c>
    </row>
    <row r="16" spans="1:3" x14ac:dyDescent="0.25">
      <c r="A16" s="63"/>
      <c r="B16" s="121"/>
      <c r="C16" s="64"/>
    </row>
    <row r="17" spans="1:3" x14ac:dyDescent="0.25">
      <c r="A17" s="60"/>
      <c r="B17" s="62" t="s">
        <v>144</v>
      </c>
      <c r="C17" s="61">
        <v>7.4</v>
      </c>
    </row>
    <row r="18" spans="1:3" x14ac:dyDescent="0.25">
      <c r="A18" s="63"/>
      <c r="B18" s="121"/>
      <c r="C18" s="64"/>
    </row>
    <row r="19" spans="1:3" x14ac:dyDescent="0.25">
      <c r="A19" s="60"/>
      <c r="B19" s="62" t="s">
        <v>145</v>
      </c>
      <c r="C19" s="61">
        <v>2</v>
      </c>
    </row>
    <row r="20" spans="1:3" x14ac:dyDescent="0.25">
      <c r="A20" s="60"/>
      <c r="B20" s="62" t="s">
        <v>146</v>
      </c>
      <c r="C20" s="61">
        <v>0.65</v>
      </c>
    </row>
    <row r="21" spans="1:3" x14ac:dyDescent="0.25">
      <c r="A21" s="60"/>
      <c r="B21" s="62" t="s">
        <v>147</v>
      </c>
      <c r="C21" s="61">
        <v>3</v>
      </c>
    </row>
    <row r="22" spans="1:3" x14ac:dyDescent="0.25">
      <c r="A22" s="60"/>
      <c r="B22" s="62" t="s">
        <v>148</v>
      </c>
      <c r="C22" s="61">
        <v>4.5</v>
      </c>
    </row>
    <row r="23" spans="1:3" x14ac:dyDescent="0.25">
      <c r="A23" s="122"/>
      <c r="B23" s="123"/>
      <c r="C23" s="124"/>
    </row>
    <row r="24" spans="1:3" x14ac:dyDescent="0.25">
      <c r="A24" s="496" t="s">
        <v>149</v>
      </c>
      <c r="B24" s="497"/>
      <c r="C24" s="65">
        <v>28.35</v>
      </c>
    </row>
    <row r="25" spans="1:3" x14ac:dyDescent="0.25">
      <c r="A25" s="174"/>
      <c r="B25" s="175"/>
      <c r="C25" s="176"/>
    </row>
    <row r="26" spans="1:3" x14ac:dyDescent="0.25">
      <c r="A26" s="177" t="str">
        <f>'PLAN. ORÇ. COM DES.'!A24</f>
        <v>ÁGUA BOA - MT, JUNHO DE 2020.</v>
      </c>
      <c r="B26" s="178"/>
      <c r="C26" s="176"/>
    </row>
    <row r="27" spans="1:3" x14ac:dyDescent="0.25">
      <c r="A27" s="179"/>
      <c r="B27" s="175"/>
      <c r="C27" s="176"/>
    </row>
    <row r="28" spans="1:3" x14ac:dyDescent="0.25">
      <c r="A28" s="174"/>
      <c r="B28" s="175"/>
      <c r="C28" s="176"/>
    </row>
    <row r="29" spans="1:3" x14ac:dyDescent="0.25">
      <c r="A29" s="419" t="s">
        <v>255</v>
      </c>
      <c r="B29" s="420"/>
      <c r="C29" s="391"/>
    </row>
    <row r="30" spans="1:3" x14ac:dyDescent="0.25">
      <c r="A30" s="419" t="s">
        <v>256</v>
      </c>
      <c r="B30" s="420"/>
      <c r="C30" s="391"/>
    </row>
    <row r="31" spans="1:3" x14ac:dyDescent="0.25">
      <c r="A31" s="421" t="s">
        <v>257</v>
      </c>
      <c r="B31" s="422"/>
      <c r="C31" s="391"/>
    </row>
    <row r="32" spans="1:3" ht="15.75" thickBot="1" x14ac:dyDescent="0.3">
      <c r="A32" s="118"/>
      <c r="B32" s="119"/>
      <c r="C32" s="120"/>
    </row>
  </sheetData>
  <mergeCells count="13">
    <mergeCell ref="A8:C8"/>
    <mergeCell ref="A1:C3"/>
    <mergeCell ref="A4:C4"/>
    <mergeCell ref="A5:C5"/>
    <mergeCell ref="A6:C6"/>
    <mergeCell ref="A7:C7"/>
    <mergeCell ref="A29:B29"/>
    <mergeCell ref="A30:B30"/>
    <mergeCell ref="A31:B31"/>
    <mergeCell ref="A9:C9"/>
    <mergeCell ref="A10:A11"/>
    <mergeCell ref="B10:B11"/>
    <mergeCell ref="A24:B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7" workbookViewId="0">
      <selection activeCell="F14" sqref="F14"/>
    </sheetView>
  </sheetViews>
  <sheetFormatPr defaultRowHeight="15" x14ac:dyDescent="0.25"/>
  <cols>
    <col min="1" max="1" width="8" customWidth="1"/>
    <col min="2" max="2" width="41.42578125" customWidth="1"/>
    <col min="3" max="3" width="11.28515625" customWidth="1"/>
    <col min="4" max="4" width="9.140625" customWidth="1"/>
    <col min="5" max="5" width="11.85546875" bestFit="1" customWidth="1"/>
    <col min="6" max="6" width="12.28515625" customWidth="1"/>
    <col min="7" max="7" width="12" customWidth="1"/>
    <col min="8" max="8" width="8.28515625" customWidth="1"/>
    <col min="9" max="9" width="14.42578125" customWidth="1"/>
  </cols>
  <sheetData>
    <row r="1" spans="1:9" ht="15.75" thickBot="1" x14ac:dyDescent="0.3">
      <c r="A1" s="127"/>
      <c r="B1" s="128"/>
      <c r="C1" s="128"/>
      <c r="D1" s="128"/>
      <c r="E1" s="128"/>
      <c r="F1" s="128"/>
      <c r="G1" s="128"/>
      <c r="H1" s="128"/>
      <c r="I1" s="129"/>
    </row>
    <row r="2" spans="1:9" ht="15.75" customHeight="1" x14ac:dyDescent="0.25">
      <c r="A2" s="548"/>
      <c r="B2" s="537" t="s">
        <v>49</v>
      </c>
      <c r="C2" s="538"/>
      <c r="D2" s="538"/>
      <c r="E2" s="538"/>
      <c r="F2" s="538"/>
      <c r="G2" s="538"/>
      <c r="H2" s="538"/>
      <c r="I2" s="539"/>
    </row>
    <row r="3" spans="1:9" x14ac:dyDescent="0.25">
      <c r="A3" s="549"/>
      <c r="B3" s="540"/>
      <c r="C3" s="541"/>
      <c r="D3" s="541"/>
      <c r="E3" s="541"/>
      <c r="F3" s="541"/>
      <c r="G3" s="541"/>
      <c r="H3" s="541"/>
      <c r="I3" s="542"/>
    </row>
    <row r="4" spans="1:9" x14ac:dyDescent="0.25">
      <c r="A4" s="549"/>
      <c r="B4" s="540"/>
      <c r="C4" s="541"/>
      <c r="D4" s="541"/>
      <c r="E4" s="541"/>
      <c r="F4" s="541"/>
      <c r="G4" s="541"/>
      <c r="H4" s="541"/>
      <c r="I4" s="542"/>
    </row>
    <row r="5" spans="1:9" ht="15.75" thickBot="1" x14ac:dyDescent="0.3">
      <c r="A5" s="550"/>
      <c r="B5" s="543"/>
      <c r="C5" s="544"/>
      <c r="D5" s="544"/>
      <c r="E5" s="544"/>
      <c r="F5" s="544"/>
      <c r="G5" s="544"/>
      <c r="H5" s="544"/>
      <c r="I5" s="545"/>
    </row>
    <row r="6" spans="1:9" x14ac:dyDescent="0.25">
      <c r="A6" s="262" t="s">
        <v>51</v>
      </c>
      <c r="B6" s="263"/>
      <c r="C6" s="264"/>
      <c r="D6" s="349"/>
      <c r="E6" s="349"/>
      <c r="F6" s="349"/>
      <c r="G6" s="349"/>
      <c r="H6" s="349"/>
      <c r="I6" s="265"/>
    </row>
    <row r="7" spans="1:9" ht="15.75" thickBot="1" x14ac:dyDescent="0.3">
      <c r="A7" s="546" t="s">
        <v>1</v>
      </c>
      <c r="B7" s="547"/>
      <c r="C7" s="547"/>
      <c r="D7" s="266"/>
      <c r="E7" s="266"/>
      <c r="F7" s="266"/>
      <c r="G7" s="266"/>
      <c r="H7" s="266"/>
      <c r="I7" s="267"/>
    </row>
    <row r="8" spans="1:9" x14ac:dyDescent="0.25">
      <c r="A8" s="130" t="s">
        <v>152</v>
      </c>
      <c r="B8" s="131"/>
      <c r="C8" s="128"/>
      <c r="D8" s="132" t="s">
        <v>153</v>
      </c>
      <c r="E8" s="132"/>
      <c r="F8" s="133" t="s">
        <v>154</v>
      </c>
      <c r="G8" s="134">
        <v>5.8500000000000002E-3</v>
      </c>
      <c r="H8" s="135"/>
      <c r="I8" s="136" t="s">
        <v>155</v>
      </c>
    </row>
    <row r="9" spans="1:9" x14ac:dyDescent="0.25">
      <c r="A9" s="137" t="s">
        <v>156</v>
      </c>
      <c r="B9" s="350"/>
      <c r="C9" s="138"/>
      <c r="D9" s="139" t="s">
        <v>195</v>
      </c>
      <c r="E9" s="138"/>
      <c r="F9" s="350"/>
      <c r="G9" s="140" t="s">
        <v>157</v>
      </c>
      <c r="H9" s="268">
        <v>818.14</v>
      </c>
      <c r="I9" s="141" t="s">
        <v>158</v>
      </c>
    </row>
    <row r="10" spans="1:9" x14ac:dyDescent="0.25">
      <c r="A10" s="560">
        <v>4011406</v>
      </c>
      <c r="B10" s="562" t="s">
        <v>75</v>
      </c>
      <c r="C10" s="562"/>
      <c r="D10" s="562"/>
      <c r="E10" s="562"/>
      <c r="F10" s="562"/>
      <c r="G10" s="562"/>
      <c r="H10" s="564" t="s">
        <v>159</v>
      </c>
      <c r="I10" s="565"/>
    </row>
    <row r="11" spans="1:9" ht="15.75" thickBot="1" x14ac:dyDescent="0.3">
      <c r="A11" s="561"/>
      <c r="B11" s="563"/>
      <c r="C11" s="563"/>
      <c r="D11" s="563"/>
      <c r="E11" s="563"/>
      <c r="F11" s="563"/>
      <c r="G11" s="563"/>
      <c r="H11" s="260"/>
      <c r="I11" s="261"/>
    </row>
    <row r="12" spans="1:9" x14ac:dyDescent="0.25">
      <c r="A12" s="519" t="s">
        <v>160</v>
      </c>
      <c r="B12" s="520"/>
      <c r="C12" s="521" t="s">
        <v>161</v>
      </c>
      <c r="D12" s="522" t="s">
        <v>162</v>
      </c>
      <c r="E12" s="522"/>
      <c r="F12" s="522" t="s">
        <v>163</v>
      </c>
      <c r="G12" s="522"/>
      <c r="H12" s="551" t="s">
        <v>164</v>
      </c>
      <c r="I12" s="552"/>
    </row>
    <row r="13" spans="1:9" x14ac:dyDescent="0.25">
      <c r="A13" s="519"/>
      <c r="B13" s="520"/>
      <c r="C13" s="521"/>
      <c r="D13" s="157" t="s">
        <v>165</v>
      </c>
      <c r="E13" s="157" t="s">
        <v>166</v>
      </c>
      <c r="F13" s="157" t="s">
        <v>167</v>
      </c>
      <c r="G13" s="157" t="s">
        <v>168</v>
      </c>
      <c r="H13" s="523" t="s">
        <v>169</v>
      </c>
      <c r="I13" s="524"/>
    </row>
    <row r="14" spans="1:9" ht="25.5" x14ac:dyDescent="0.25">
      <c r="A14" s="142" t="s">
        <v>170</v>
      </c>
      <c r="B14" s="143" t="s">
        <v>171</v>
      </c>
      <c r="C14" s="144">
        <v>1</v>
      </c>
      <c r="D14" s="145">
        <v>0.05</v>
      </c>
      <c r="E14" s="145">
        <v>0.95</v>
      </c>
      <c r="F14" s="354">
        <v>153.91749999999999</v>
      </c>
      <c r="G14" s="354">
        <v>44.099800000000002</v>
      </c>
      <c r="H14" s="558">
        <f t="shared" ref="H14:H19" si="0">TRUNC((D14*F14),2)+TRUNC((E14*G14),2)</f>
        <v>49.58</v>
      </c>
      <c r="I14" s="559"/>
    </row>
    <row r="15" spans="1:9" ht="25.5" x14ac:dyDescent="0.25">
      <c r="A15" s="353" t="s">
        <v>172</v>
      </c>
      <c r="B15" s="146" t="s">
        <v>173</v>
      </c>
      <c r="C15" s="147">
        <v>1</v>
      </c>
      <c r="D15" s="148">
        <v>0.03</v>
      </c>
      <c r="E15" s="148">
        <v>0.97</v>
      </c>
      <c r="F15" s="352">
        <v>110.4885</v>
      </c>
      <c r="G15" s="352">
        <v>55.854599999999998</v>
      </c>
      <c r="H15" s="535">
        <f t="shared" si="0"/>
        <v>57.480000000000004</v>
      </c>
      <c r="I15" s="536"/>
    </row>
    <row r="16" spans="1:9" ht="25.5" x14ac:dyDescent="0.25">
      <c r="A16" s="353" t="s">
        <v>174</v>
      </c>
      <c r="B16" s="146" t="s">
        <v>175</v>
      </c>
      <c r="C16" s="147">
        <v>2</v>
      </c>
      <c r="D16" s="148">
        <v>1</v>
      </c>
      <c r="E16" s="148">
        <v>0</v>
      </c>
      <c r="F16" s="352">
        <v>15.607699999999999</v>
      </c>
      <c r="G16" s="352">
        <v>10.194900000000001</v>
      </c>
      <c r="H16" s="535">
        <f t="shared" si="0"/>
        <v>15.6</v>
      </c>
      <c r="I16" s="536"/>
    </row>
    <row r="17" spans="1:9" x14ac:dyDescent="0.25">
      <c r="A17" s="353" t="s">
        <v>176</v>
      </c>
      <c r="B17" s="146" t="s">
        <v>177</v>
      </c>
      <c r="C17" s="147">
        <v>1</v>
      </c>
      <c r="D17" s="148">
        <v>0.25</v>
      </c>
      <c r="E17" s="148">
        <v>0.75</v>
      </c>
      <c r="F17" s="352">
        <v>124.6725</v>
      </c>
      <c r="G17" s="352">
        <v>31.983799999999999</v>
      </c>
      <c r="H17" s="535">
        <f t="shared" si="0"/>
        <v>55.14</v>
      </c>
      <c r="I17" s="536"/>
    </row>
    <row r="18" spans="1:9" ht="27.75" customHeight="1" x14ac:dyDescent="0.25">
      <c r="A18" s="353" t="s">
        <v>178</v>
      </c>
      <c r="B18" s="146" t="s">
        <v>179</v>
      </c>
      <c r="C18" s="147">
        <v>1</v>
      </c>
      <c r="D18" s="148">
        <v>1</v>
      </c>
      <c r="E18" s="148">
        <v>0</v>
      </c>
      <c r="F18" s="352">
        <v>309.96249999999998</v>
      </c>
      <c r="G18" s="352">
        <v>113.86709999999999</v>
      </c>
      <c r="H18" s="535">
        <f t="shared" si="0"/>
        <v>309.95999999999998</v>
      </c>
      <c r="I18" s="536"/>
    </row>
    <row r="19" spans="1:9" x14ac:dyDescent="0.25">
      <c r="A19" s="353" t="s">
        <v>180</v>
      </c>
      <c r="B19" s="146" t="s">
        <v>181</v>
      </c>
      <c r="C19" s="147">
        <v>1</v>
      </c>
      <c r="D19" s="148">
        <v>0.25</v>
      </c>
      <c r="E19" s="148">
        <v>0.75</v>
      </c>
      <c r="F19" s="352">
        <v>5.6965000000000003</v>
      </c>
      <c r="G19" s="352">
        <v>3.5529000000000002</v>
      </c>
      <c r="H19" s="535">
        <f t="shared" si="0"/>
        <v>4.08</v>
      </c>
      <c r="I19" s="536"/>
    </row>
    <row r="20" spans="1:9" x14ac:dyDescent="0.25">
      <c r="A20" s="149"/>
      <c r="B20" s="150"/>
      <c r="C20" s="525" t="s">
        <v>182</v>
      </c>
      <c r="D20" s="526"/>
      <c r="E20" s="526"/>
      <c r="F20" s="526"/>
      <c r="G20" s="526"/>
      <c r="H20" s="527">
        <f>SUM(H14:I19)</f>
        <v>491.84</v>
      </c>
      <c r="I20" s="528"/>
    </row>
    <row r="21" spans="1:9" x14ac:dyDescent="0.25">
      <c r="A21" s="556" t="s">
        <v>183</v>
      </c>
      <c r="B21" s="557"/>
      <c r="C21" s="151" t="s">
        <v>161</v>
      </c>
      <c r="D21" s="351" t="s">
        <v>184</v>
      </c>
      <c r="E21" s="526" t="s">
        <v>163</v>
      </c>
      <c r="F21" s="526"/>
      <c r="G21" s="269"/>
      <c r="H21" s="533" t="s">
        <v>185</v>
      </c>
      <c r="I21" s="534"/>
    </row>
    <row r="22" spans="1:9" x14ac:dyDescent="0.25">
      <c r="A22" s="353" t="s">
        <v>186</v>
      </c>
      <c r="B22" s="146" t="s">
        <v>108</v>
      </c>
      <c r="C22" s="147">
        <v>10</v>
      </c>
      <c r="D22" s="152" t="s">
        <v>187</v>
      </c>
      <c r="E22" s="153"/>
      <c r="F22" s="352">
        <v>16.656400000000001</v>
      </c>
      <c r="G22" s="153"/>
      <c r="H22" s="535">
        <f>TRUNC((C22*F22),2)</f>
        <v>166.56</v>
      </c>
      <c r="I22" s="536"/>
    </row>
    <row r="23" spans="1:9" x14ac:dyDescent="0.25">
      <c r="A23" s="353"/>
      <c r="B23" s="154"/>
      <c r="C23" s="553" t="s">
        <v>188</v>
      </c>
      <c r="D23" s="553"/>
      <c r="E23" s="553"/>
      <c r="F23" s="553"/>
      <c r="G23" s="553"/>
      <c r="H23" s="554">
        <f>H22</f>
        <v>166.56</v>
      </c>
      <c r="I23" s="555"/>
    </row>
    <row r="24" spans="1:9" x14ac:dyDescent="0.25">
      <c r="A24" s="149"/>
      <c r="B24" s="150"/>
      <c r="C24" s="525" t="s">
        <v>189</v>
      </c>
      <c r="D24" s="526"/>
      <c r="E24" s="526"/>
      <c r="F24" s="526"/>
      <c r="G24" s="526"/>
      <c r="H24" s="527">
        <f>H23+H20</f>
        <v>658.4</v>
      </c>
      <c r="I24" s="528"/>
    </row>
    <row r="25" spans="1:9" ht="15.75" thickBot="1" x14ac:dyDescent="0.3">
      <c r="A25" s="155"/>
      <c r="B25" s="156"/>
      <c r="C25" s="529" t="s">
        <v>190</v>
      </c>
      <c r="D25" s="530"/>
      <c r="E25" s="530"/>
      <c r="F25" s="530"/>
      <c r="G25" s="530"/>
      <c r="H25" s="531">
        <f>H24/H9</f>
        <v>0.80475224289241454</v>
      </c>
      <c r="I25" s="532"/>
    </row>
    <row r="26" spans="1:9" x14ac:dyDescent="0.25">
      <c r="A26" s="173"/>
      <c r="B26" s="171"/>
      <c r="C26" s="171"/>
      <c r="D26" s="171"/>
      <c r="E26" s="171"/>
      <c r="F26" s="171"/>
      <c r="G26" s="171"/>
      <c r="H26" s="171"/>
      <c r="I26" s="172"/>
    </row>
    <row r="27" spans="1:9" x14ac:dyDescent="0.25">
      <c r="A27" s="173" t="str">
        <f>'PLAN. ORÇ. COM DES.'!A24</f>
        <v>ÁGUA BOA - MT, JUNHO DE 2020.</v>
      </c>
      <c r="B27" s="171"/>
      <c r="C27" s="171"/>
      <c r="D27" s="171"/>
      <c r="E27" s="171"/>
      <c r="F27" s="171"/>
      <c r="G27" s="171"/>
      <c r="H27" s="171"/>
      <c r="I27" s="172"/>
    </row>
    <row r="28" spans="1:9" x14ac:dyDescent="0.25">
      <c r="A28" s="173"/>
      <c r="B28" s="171"/>
      <c r="C28" s="420" t="s">
        <v>255</v>
      </c>
      <c r="D28" s="420"/>
      <c r="E28" s="420"/>
      <c r="F28" s="171"/>
      <c r="G28" s="171"/>
      <c r="H28" s="171"/>
      <c r="I28" s="172"/>
    </row>
    <row r="29" spans="1:9" x14ac:dyDescent="0.25">
      <c r="A29" s="173"/>
      <c r="B29" s="171"/>
      <c r="C29" s="420" t="s">
        <v>256</v>
      </c>
      <c r="D29" s="420"/>
      <c r="E29" s="420"/>
      <c r="F29" s="171"/>
      <c r="G29" s="171"/>
      <c r="H29" s="171"/>
      <c r="I29" s="172"/>
    </row>
    <row r="30" spans="1:9" x14ac:dyDescent="0.25">
      <c r="A30" s="394"/>
      <c r="B30" s="358"/>
      <c r="C30" s="422" t="s">
        <v>257</v>
      </c>
      <c r="D30" s="422"/>
      <c r="E30" s="422"/>
      <c r="F30" s="358"/>
      <c r="G30" s="358"/>
      <c r="H30" s="358"/>
      <c r="I30" s="391"/>
    </row>
    <row r="31" spans="1:9" x14ac:dyDescent="0.25">
      <c r="A31" s="394"/>
      <c r="B31" s="358"/>
      <c r="C31" s="358"/>
      <c r="D31" s="358"/>
      <c r="E31" s="358"/>
      <c r="F31" s="358"/>
      <c r="G31" s="358"/>
      <c r="H31" s="358"/>
      <c r="I31" s="391"/>
    </row>
    <row r="32" spans="1:9" ht="15.75" thickBot="1" x14ac:dyDescent="0.3">
      <c r="A32" s="118"/>
      <c r="B32" s="119"/>
      <c r="C32" s="119"/>
      <c r="D32" s="119"/>
      <c r="E32" s="119"/>
      <c r="F32" s="119"/>
      <c r="G32" s="119"/>
      <c r="H32" s="119"/>
      <c r="I32" s="120"/>
    </row>
  </sheetData>
  <mergeCells count="33">
    <mergeCell ref="B2:I5"/>
    <mergeCell ref="A7:C7"/>
    <mergeCell ref="A2:A5"/>
    <mergeCell ref="H12:I12"/>
    <mergeCell ref="C23:G23"/>
    <mergeCell ref="H23:I23"/>
    <mergeCell ref="A21:B21"/>
    <mergeCell ref="H14:I14"/>
    <mergeCell ref="H15:I15"/>
    <mergeCell ref="H16:I16"/>
    <mergeCell ref="H17:I17"/>
    <mergeCell ref="H18:I18"/>
    <mergeCell ref="H19:I19"/>
    <mergeCell ref="A10:A11"/>
    <mergeCell ref="B10:G11"/>
    <mergeCell ref="H10:I10"/>
    <mergeCell ref="F12:G12"/>
    <mergeCell ref="H13:I13"/>
    <mergeCell ref="C24:G24"/>
    <mergeCell ref="H24:I24"/>
    <mergeCell ref="C25:G25"/>
    <mergeCell ref="H25:I25"/>
    <mergeCell ref="C20:G20"/>
    <mergeCell ref="H20:I20"/>
    <mergeCell ref="E21:F21"/>
    <mergeCell ref="H21:I21"/>
    <mergeCell ref="H22:I22"/>
    <mergeCell ref="C29:E29"/>
    <mergeCell ref="C28:E28"/>
    <mergeCell ref="C30:E30"/>
    <mergeCell ref="A12:B13"/>
    <mergeCell ref="C12:C13"/>
    <mergeCell ref="D12:E12"/>
  </mergeCells>
  <pageMargins left="0.511811024" right="0.511811024" top="0.78740157499999996" bottom="0.78740157499999996" header="0.31496062000000002" footer="0.31496062000000002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opLeftCell="C16" workbookViewId="0">
      <selection activeCell="L33" sqref="L33"/>
    </sheetView>
  </sheetViews>
  <sheetFormatPr defaultRowHeight="15" x14ac:dyDescent="0.25"/>
  <cols>
    <col min="1" max="1" width="14.5703125" customWidth="1"/>
    <col min="2" max="2" width="65.42578125" customWidth="1"/>
    <col min="3" max="3" width="11.7109375" customWidth="1"/>
    <col min="4" max="4" width="13" customWidth="1"/>
    <col min="5" max="5" width="13.140625" customWidth="1"/>
    <col min="6" max="6" width="15" bestFit="1" customWidth="1"/>
    <col min="7" max="7" width="13.5703125" customWidth="1"/>
    <col min="8" max="8" width="12.28515625" customWidth="1"/>
    <col min="9" max="9" width="17.42578125" customWidth="1"/>
    <col min="10" max="10" width="21.7109375" customWidth="1"/>
    <col min="12" max="12" width="13.28515625" bestFit="1" customWidth="1"/>
  </cols>
  <sheetData>
    <row r="1" spans="1:10" ht="15" customHeight="1" x14ac:dyDescent="0.25">
      <c r="A1" s="591" t="s">
        <v>79</v>
      </c>
      <c r="B1" s="592"/>
      <c r="C1" s="180"/>
      <c r="D1" s="180"/>
      <c r="E1" s="180"/>
      <c r="F1" s="585"/>
      <c r="G1" s="585"/>
      <c r="H1" s="585"/>
      <c r="I1" s="585"/>
      <c r="J1" s="586"/>
    </row>
    <row r="2" spans="1:10" x14ac:dyDescent="0.25">
      <c r="A2" s="566"/>
      <c r="B2" s="567"/>
      <c r="C2" s="125"/>
      <c r="D2" s="125"/>
      <c r="E2" s="125"/>
      <c r="F2" s="587" t="s">
        <v>78</v>
      </c>
      <c r="G2" s="587"/>
      <c r="H2" s="587"/>
      <c r="I2" s="587"/>
      <c r="J2" s="588"/>
    </row>
    <row r="3" spans="1:10" ht="15" customHeight="1" x14ac:dyDescent="0.25">
      <c r="A3" s="593" t="s">
        <v>80</v>
      </c>
      <c r="B3" s="594"/>
      <c r="C3" s="126"/>
      <c r="D3" s="126"/>
      <c r="E3" s="126"/>
      <c r="F3" s="589" t="str">
        <f>'PLAN. ORÇ. COM DES.'!F3:G3</f>
        <v>REFER.: SICRO I OUT/2019</v>
      </c>
      <c r="G3" s="589"/>
      <c r="H3" s="589"/>
      <c r="I3" s="589"/>
      <c r="J3" s="590"/>
    </row>
    <row r="4" spans="1:10" x14ac:dyDescent="0.25">
      <c r="A4" s="566" t="s">
        <v>81</v>
      </c>
      <c r="B4" s="567"/>
      <c r="C4" s="125"/>
      <c r="D4" s="125"/>
      <c r="E4" s="125"/>
      <c r="F4" s="576" t="str">
        <f>'PLAN. ORÇ. COM DES.'!F4:G4</f>
        <v>SINAPI: ABRIL/2020 COM DES</v>
      </c>
      <c r="G4" s="576"/>
      <c r="H4" s="576"/>
      <c r="I4" s="576"/>
      <c r="J4" s="577"/>
    </row>
    <row r="5" spans="1:10" x14ac:dyDescent="0.25">
      <c r="A5" s="568"/>
      <c r="B5" s="569"/>
      <c r="C5" s="171"/>
      <c r="D5" s="171"/>
      <c r="E5" s="171"/>
      <c r="F5" s="171"/>
      <c r="G5" s="171"/>
      <c r="H5" s="171"/>
      <c r="I5" s="171"/>
      <c r="J5" s="172"/>
    </row>
    <row r="6" spans="1:10" x14ac:dyDescent="0.25">
      <c r="A6" s="578" t="s">
        <v>82</v>
      </c>
      <c r="B6" s="579"/>
      <c r="C6" s="579"/>
      <c r="D6" s="579"/>
      <c r="E6" s="579"/>
      <c r="F6" s="579"/>
      <c r="G6" s="579"/>
      <c r="H6" s="579"/>
      <c r="I6" s="579"/>
      <c r="J6" s="580"/>
    </row>
    <row r="7" spans="1:10" x14ac:dyDescent="0.25">
      <c r="A7" s="181">
        <v>1</v>
      </c>
      <c r="B7" s="182" t="s">
        <v>83</v>
      </c>
      <c r="C7" s="581" t="s">
        <v>84</v>
      </c>
      <c r="D7" s="583" t="s">
        <v>85</v>
      </c>
      <c r="E7" s="249" t="s">
        <v>86</v>
      </c>
      <c r="F7" s="249" t="s">
        <v>87</v>
      </c>
      <c r="G7" s="250" t="s">
        <v>88</v>
      </c>
      <c r="H7" s="250" t="s">
        <v>89</v>
      </c>
      <c r="I7" s="250" t="s">
        <v>90</v>
      </c>
      <c r="J7" s="251" t="s">
        <v>91</v>
      </c>
    </row>
    <row r="8" spans="1:10" x14ac:dyDescent="0.25">
      <c r="A8" s="183"/>
      <c r="B8" s="184"/>
      <c r="C8" s="582"/>
      <c r="D8" s="583"/>
      <c r="E8" s="249" t="s">
        <v>92</v>
      </c>
      <c r="F8" s="249" t="s">
        <v>93</v>
      </c>
      <c r="G8" s="250" t="s">
        <v>94</v>
      </c>
      <c r="H8" s="250" t="s">
        <v>95</v>
      </c>
      <c r="I8" s="250" t="s">
        <v>96</v>
      </c>
      <c r="J8" s="251" t="s">
        <v>96</v>
      </c>
    </row>
    <row r="9" spans="1:10" x14ac:dyDescent="0.25">
      <c r="A9" s="187" t="s">
        <v>97</v>
      </c>
      <c r="B9" s="188" t="s">
        <v>98</v>
      </c>
      <c r="C9" s="189"/>
      <c r="D9" s="190"/>
      <c r="E9" s="185"/>
      <c r="F9" s="185"/>
      <c r="G9" s="246"/>
      <c r="H9" s="247" t="s">
        <v>99</v>
      </c>
      <c r="I9" s="248" t="s">
        <v>100</v>
      </c>
      <c r="J9" s="186"/>
    </row>
    <row r="10" spans="1:10" x14ac:dyDescent="0.25">
      <c r="A10" s="192" t="s">
        <v>101</v>
      </c>
      <c r="B10" s="193" t="s">
        <v>102</v>
      </c>
      <c r="C10" s="194"/>
      <c r="D10" s="195">
        <v>1</v>
      </c>
      <c r="E10" s="185"/>
      <c r="F10" s="185"/>
      <c r="G10" s="196"/>
      <c r="H10" s="197">
        <v>158</v>
      </c>
      <c r="I10" s="196"/>
      <c r="J10" s="198">
        <f>H10*D10</f>
        <v>158</v>
      </c>
    </row>
    <row r="11" spans="1:10" x14ac:dyDescent="0.25">
      <c r="A11" s="192" t="s">
        <v>103</v>
      </c>
      <c r="B11" s="193" t="s">
        <v>104</v>
      </c>
      <c r="C11" s="194"/>
      <c r="D11" s="195">
        <v>1</v>
      </c>
      <c r="E11" s="185"/>
      <c r="F11" s="185"/>
      <c r="G11" s="196"/>
      <c r="H11" s="197">
        <v>158</v>
      </c>
      <c r="I11" s="196"/>
      <c r="J11" s="198">
        <f>H11*D11</f>
        <v>158</v>
      </c>
    </row>
    <row r="12" spans="1:10" x14ac:dyDescent="0.25">
      <c r="A12" s="192" t="s">
        <v>105</v>
      </c>
      <c r="B12" s="193" t="s">
        <v>106</v>
      </c>
      <c r="C12" s="194"/>
      <c r="D12" s="195">
        <v>1</v>
      </c>
      <c r="E12" s="185"/>
      <c r="F12" s="185"/>
      <c r="G12" s="196"/>
      <c r="H12" s="197">
        <v>158</v>
      </c>
      <c r="I12" s="196"/>
      <c r="J12" s="198">
        <f>H12*D12</f>
        <v>158</v>
      </c>
    </row>
    <row r="13" spans="1:10" x14ac:dyDescent="0.25">
      <c r="A13" s="192" t="s">
        <v>107</v>
      </c>
      <c r="B13" s="193" t="s">
        <v>108</v>
      </c>
      <c r="C13" s="194"/>
      <c r="D13" s="195">
        <v>4</v>
      </c>
      <c r="E13" s="185"/>
      <c r="F13" s="185"/>
      <c r="G13" s="196"/>
      <c r="H13" s="197">
        <v>158</v>
      </c>
      <c r="I13" s="196"/>
      <c r="J13" s="198">
        <f>H13*D13</f>
        <v>632</v>
      </c>
    </row>
    <row r="14" spans="1:10" x14ac:dyDescent="0.25">
      <c r="A14" s="192"/>
      <c r="B14" s="199"/>
      <c r="C14" s="200"/>
      <c r="D14" s="190"/>
      <c r="E14" s="185"/>
      <c r="F14" s="185"/>
      <c r="G14" s="196"/>
      <c r="H14" s="196"/>
      <c r="I14" s="201" t="s">
        <v>109</v>
      </c>
      <c r="J14" s="42">
        <f>SUM(J10:J13)</f>
        <v>1106</v>
      </c>
    </row>
    <row r="15" spans="1:10" x14ac:dyDescent="0.25">
      <c r="A15" s="192"/>
      <c r="B15" s="199"/>
      <c r="C15" s="200"/>
      <c r="D15" s="190"/>
      <c r="E15" s="185"/>
      <c r="F15" s="185"/>
      <c r="G15" s="196"/>
      <c r="H15" s="196"/>
      <c r="I15" s="196"/>
      <c r="J15" s="186"/>
    </row>
    <row r="16" spans="1:10" x14ac:dyDescent="0.25">
      <c r="A16" s="192">
        <v>2</v>
      </c>
      <c r="B16" s="199" t="s">
        <v>110</v>
      </c>
      <c r="C16" s="200"/>
      <c r="D16" s="190"/>
      <c r="E16" s="185"/>
      <c r="F16" s="185"/>
      <c r="G16" s="196"/>
      <c r="H16" s="196"/>
      <c r="I16" s="196"/>
      <c r="J16" s="186"/>
    </row>
    <row r="17" spans="1:12" x14ac:dyDescent="0.25">
      <c r="A17" s="187" t="s">
        <v>97</v>
      </c>
      <c r="B17" s="188" t="s">
        <v>111</v>
      </c>
      <c r="C17" s="200"/>
      <c r="D17" s="190"/>
      <c r="E17" s="185"/>
      <c r="F17" s="185"/>
      <c r="G17" s="196"/>
      <c r="H17" s="196"/>
      <c r="I17" s="196"/>
      <c r="J17" s="186"/>
    </row>
    <row r="18" spans="1:12" x14ac:dyDescent="0.25">
      <c r="A18" s="192" t="str">
        <f>'[3]COMP. LAMA'!A8</f>
        <v>E9605</v>
      </c>
      <c r="B18" s="202" t="str">
        <f>'[3]COMP. LAMA'!B8</f>
        <v>Caminhão tanque com capacidade de 6.000 l - 136 kW</v>
      </c>
      <c r="C18" s="200" t="s">
        <v>112</v>
      </c>
      <c r="D18" s="203">
        <v>1</v>
      </c>
      <c r="E18" s="204">
        <v>735</v>
      </c>
      <c r="F18" s="204">
        <v>60</v>
      </c>
      <c r="G18" s="356">
        <f>E18/F18</f>
        <v>12.25</v>
      </c>
      <c r="H18" s="205"/>
      <c r="I18" s="206">
        <v>151.5376</v>
      </c>
      <c r="J18" s="207">
        <f>TRUNC(I18*G18*D18,2)</f>
        <v>1856.33</v>
      </c>
    </row>
    <row r="19" spans="1:12" x14ac:dyDescent="0.25">
      <c r="A19" s="572" t="s">
        <v>113</v>
      </c>
      <c r="B19" s="584"/>
      <c r="C19" s="584"/>
      <c r="D19" s="584"/>
      <c r="E19" s="584"/>
      <c r="F19" s="584"/>
      <c r="G19" s="584"/>
      <c r="H19" s="584"/>
      <c r="I19" s="584"/>
      <c r="J19" s="208">
        <f>SUM(J18:J18)</f>
        <v>1856.33</v>
      </c>
    </row>
    <row r="20" spans="1:12" x14ac:dyDescent="0.25">
      <c r="A20" s="209"/>
      <c r="B20" s="210"/>
      <c r="C20" s="210"/>
      <c r="D20" s="210"/>
      <c r="E20" s="210"/>
      <c r="F20" s="210"/>
      <c r="G20" s="210"/>
      <c r="H20" s="210"/>
      <c r="I20" s="210"/>
      <c r="J20" s="211"/>
    </row>
    <row r="21" spans="1:12" ht="15.75" thickBot="1" x14ac:dyDescent="0.3">
      <c r="A21" s="212">
        <v>3</v>
      </c>
      <c r="B21" s="213" t="s">
        <v>114</v>
      </c>
      <c r="C21" s="214"/>
      <c r="D21" s="570" t="s">
        <v>85</v>
      </c>
      <c r="E21" s="215" t="s">
        <v>86</v>
      </c>
      <c r="F21" s="216" t="s">
        <v>87</v>
      </c>
      <c r="G21" s="217" t="s">
        <v>88</v>
      </c>
      <c r="H21" s="217" t="s">
        <v>89</v>
      </c>
      <c r="I21" s="217" t="s">
        <v>90</v>
      </c>
      <c r="J21" s="218" t="s">
        <v>91</v>
      </c>
    </row>
    <row r="22" spans="1:12" x14ac:dyDescent="0.25">
      <c r="A22" s="219"/>
      <c r="B22" s="220"/>
      <c r="C22" s="221"/>
      <c r="D22" s="571"/>
      <c r="E22" s="222" t="s">
        <v>92</v>
      </c>
      <c r="F22" s="223" t="s">
        <v>93</v>
      </c>
      <c r="G22" s="224" t="s">
        <v>94</v>
      </c>
      <c r="H22" s="224" t="s">
        <v>95</v>
      </c>
      <c r="I22" s="224" t="s">
        <v>96</v>
      </c>
      <c r="J22" s="225" t="s">
        <v>96</v>
      </c>
    </row>
    <row r="23" spans="1:12" x14ac:dyDescent="0.25">
      <c r="A23" s="226" t="s">
        <v>97</v>
      </c>
      <c r="B23" s="227" t="s">
        <v>111</v>
      </c>
      <c r="C23" s="228"/>
      <c r="D23" s="229"/>
      <c r="E23" s="230"/>
      <c r="F23" s="231" t="s">
        <v>115</v>
      </c>
      <c r="G23" s="232"/>
      <c r="H23" s="232"/>
      <c r="I23" s="191" t="s">
        <v>100</v>
      </c>
      <c r="J23" s="233"/>
    </row>
    <row r="24" spans="1:12" ht="26.25" x14ac:dyDescent="0.25">
      <c r="A24" s="192" t="str">
        <f>'[3]COMP. LAMA'!A12</f>
        <v>E9688</v>
      </c>
      <c r="B24" s="234" t="str">
        <f>'[3]COMP. LAMA'!B12</f>
        <v>Usina móvel de lama asfáltica montada sobre chassi com capacidade de 5 m³ - 25 kW/188 kW</v>
      </c>
      <c r="C24" s="235" t="s">
        <v>112</v>
      </c>
      <c r="D24" s="236">
        <v>1</v>
      </c>
      <c r="E24" s="204">
        <v>735</v>
      </c>
      <c r="F24" s="204">
        <v>60</v>
      </c>
      <c r="G24" s="357">
        <f>E24/F24</f>
        <v>12.25</v>
      </c>
      <c r="H24" s="237"/>
      <c r="I24" s="238">
        <v>302.78059999999999</v>
      </c>
      <c r="J24" s="207">
        <f>I24*G24</f>
        <v>3709.0623499999997</v>
      </c>
    </row>
    <row r="25" spans="1:12" x14ac:dyDescent="0.25">
      <c r="A25" s="187" t="str">
        <f>'[3]COMP. LAMA'!A11</f>
        <v>E9577</v>
      </c>
      <c r="B25" s="239" t="str">
        <f>'[3]COMP. LAMA'!B11</f>
        <v>Trator agrícola - 77 kW</v>
      </c>
      <c r="C25" s="240" t="s">
        <v>112</v>
      </c>
      <c r="D25" s="241">
        <v>1</v>
      </c>
      <c r="E25" s="204">
        <v>735</v>
      </c>
      <c r="F25" s="242">
        <v>60</v>
      </c>
      <c r="G25" s="357">
        <f t="shared" ref="G25:G28" si="0">E25/F25</f>
        <v>12.25</v>
      </c>
      <c r="H25" s="243"/>
      <c r="I25" s="244">
        <v>122.62649999999999</v>
      </c>
      <c r="J25" s="207">
        <f>I25*G25</f>
        <v>1502.1746249999999</v>
      </c>
    </row>
    <row r="26" spans="1:12" x14ac:dyDescent="0.25">
      <c r="A26" s="187" t="str">
        <f>'[3]COMP. LAMA'!A13</f>
        <v>E9544</v>
      </c>
      <c r="B26" s="239" t="s">
        <v>116</v>
      </c>
      <c r="C26" s="240" t="s">
        <v>112</v>
      </c>
      <c r="D26" s="241">
        <v>1</v>
      </c>
      <c r="E26" s="204">
        <v>735</v>
      </c>
      <c r="F26" s="242">
        <v>60</v>
      </c>
      <c r="G26" s="357">
        <f t="shared" si="0"/>
        <v>12.25</v>
      </c>
      <c r="H26" s="243"/>
      <c r="I26" s="244">
        <v>5.6965000000000003</v>
      </c>
      <c r="J26" s="207">
        <f>I26*G26</f>
        <v>69.782125000000008</v>
      </c>
    </row>
    <row r="27" spans="1:12" x14ac:dyDescent="0.25">
      <c r="A27" s="187" t="str">
        <f>'[3]COMP. LAMA'!A10</f>
        <v>E9558</v>
      </c>
      <c r="B27" s="239" t="str">
        <f>'[3]COMP. LAMA'!B10</f>
        <v>Tanque de estocagem de asfalto com capacidade de 30.000 l</v>
      </c>
      <c r="C27" s="240" t="s">
        <v>112</v>
      </c>
      <c r="D27" s="241">
        <v>1</v>
      </c>
      <c r="E27" s="204">
        <v>735</v>
      </c>
      <c r="F27" s="242">
        <v>60</v>
      </c>
      <c r="G27" s="357">
        <f t="shared" si="0"/>
        <v>12.25</v>
      </c>
      <c r="H27" s="243"/>
      <c r="I27" s="244">
        <v>15.607699999999999</v>
      </c>
      <c r="J27" s="207">
        <f>I27*G27</f>
        <v>191.19432499999999</v>
      </c>
    </row>
    <row r="28" spans="1:12" x14ac:dyDescent="0.25">
      <c r="A28" s="187" t="str">
        <f>'[3]COMP. LAMA'!A9</f>
        <v>E9584</v>
      </c>
      <c r="B28" s="239" t="str">
        <f>'[3]COMP. LAMA'!B9</f>
        <v>Carregadeira de pneus com capacidade de 1,53 m³ - 106 kW</v>
      </c>
      <c r="C28" s="240" t="s">
        <v>112</v>
      </c>
      <c r="D28" s="241">
        <v>1</v>
      </c>
      <c r="E28" s="204">
        <v>735</v>
      </c>
      <c r="F28" s="242">
        <v>60</v>
      </c>
      <c r="G28" s="357">
        <f t="shared" si="0"/>
        <v>12.25</v>
      </c>
      <c r="H28" s="243"/>
      <c r="I28" s="244">
        <v>107.60290000000001</v>
      </c>
      <c r="J28" s="207">
        <f>I28*G28</f>
        <v>1318.1355250000001</v>
      </c>
    </row>
    <row r="29" spans="1:12" x14ac:dyDescent="0.25">
      <c r="A29" s="572" t="s">
        <v>117</v>
      </c>
      <c r="B29" s="573"/>
      <c r="C29" s="573"/>
      <c r="D29" s="573"/>
      <c r="E29" s="573"/>
      <c r="F29" s="573"/>
      <c r="G29" s="573"/>
      <c r="H29" s="573"/>
      <c r="I29" s="573"/>
      <c r="J29" s="208">
        <f>SUM(J24:J28)</f>
        <v>6790.3489499999996</v>
      </c>
    </row>
    <row r="30" spans="1:12" ht="15.75" thickBot="1" x14ac:dyDescent="0.3">
      <c r="A30" s="574" t="s">
        <v>118</v>
      </c>
      <c r="B30" s="575"/>
      <c r="C30" s="575"/>
      <c r="D30" s="575"/>
      <c r="E30" s="575"/>
      <c r="F30" s="575"/>
      <c r="G30" s="575"/>
      <c r="H30" s="575"/>
      <c r="I30" s="575"/>
      <c r="J30" s="245">
        <f>J29+J19+J14</f>
        <v>9752.6789499999995</v>
      </c>
      <c r="L30" s="412"/>
    </row>
    <row r="31" spans="1:12" x14ac:dyDescent="0.25">
      <c r="A31" s="173"/>
      <c r="B31" s="171"/>
      <c r="C31" s="171"/>
      <c r="D31" s="171"/>
      <c r="E31" s="171"/>
      <c r="F31" s="171"/>
      <c r="G31" s="171"/>
      <c r="H31" s="171"/>
      <c r="I31" s="171"/>
      <c r="J31" s="172"/>
    </row>
    <row r="32" spans="1:12" x14ac:dyDescent="0.25">
      <c r="A32" s="173"/>
      <c r="B32" s="171" t="str">
        <f>'PLAN. ORÇ. COM DES.'!A24</f>
        <v>ÁGUA BOA - MT, JUNHO DE 2020.</v>
      </c>
      <c r="C32" s="171"/>
      <c r="D32" s="171"/>
      <c r="E32" s="171"/>
      <c r="F32" s="171"/>
      <c r="G32" s="171"/>
      <c r="H32" s="171"/>
      <c r="I32" s="171"/>
      <c r="J32" s="172"/>
    </row>
    <row r="33" spans="1:12" x14ac:dyDescent="0.25">
      <c r="A33" s="173"/>
      <c r="B33" s="171"/>
      <c r="C33" s="420" t="s">
        <v>255</v>
      </c>
      <c r="D33" s="420"/>
      <c r="E33" s="420"/>
      <c r="F33" s="171"/>
      <c r="G33" s="171"/>
      <c r="H33" s="171"/>
      <c r="I33" s="171"/>
      <c r="J33" s="172"/>
      <c r="L33" s="412"/>
    </row>
    <row r="34" spans="1:12" x14ac:dyDescent="0.25">
      <c r="A34" s="173"/>
      <c r="B34" s="171"/>
      <c r="C34" s="420" t="s">
        <v>256</v>
      </c>
      <c r="D34" s="420"/>
      <c r="E34" s="420"/>
      <c r="F34" s="171"/>
      <c r="G34" s="171"/>
      <c r="H34" s="171"/>
      <c r="I34" s="171"/>
      <c r="J34" s="172"/>
    </row>
    <row r="35" spans="1:12" x14ac:dyDescent="0.25">
      <c r="A35" s="394"/>
      <c r="B35" s="358"/>
      <c r="C35" s="422" t="s">
        <v>257</v>
      </c>
      <c r="D35" s="422"/>
      <c r="E35" s="422"/>
      <c r="F35" s="358"/>
      <c r="G35" s="358"/>
      <c r="H35" s="358"/>
      <c r="I35" s="358"/>
      <c r="J35" s="391"/>
    </row>
    <row r="36" spans="1:12" ht="15.75" thickBot="1" x14ac:dyDescent="0.3">
      <c r="A36" s="118"/>
      <c r="B36" s="119"/>
      <c r="C36" s="119"/>
      <c r="D36" s="119"/>
      <c r="E36" s="119"/>
      <c r="F36" s="119"/>
      <c r="G36" s="119"/>
      <c r="H36" s="119"/>
      <c r="I36" s="119"/>
      <c r="J36" s="120"/>
    </row>
  </sheetData>
  <mergeCells count="18">
    <mergeCell ref="F1:J1"/>
    <mergeCell ref="F2:J2"/>
    <mergeCell ref="F3:J3"/>
    <mergeCell ref="A1:B2"/>
    <mergeCell ref="A3:B3"/>
    <mergeCell ref="C33:E33"/>
    <mergeCell ref="C34:E34"/>
    <mergeCell ref="C35:E35"/>
    <mergeCell ref="A4:B4"/>
    <mergeCell ref="A5:B5"/>
    <mergeCell ref="D21:D22"/>
    <mergeCell ref="A29:I29"/>
    <mergeCell ref="A30:I30"/>
    <mergeCell ref="F4:J4"/>
    <mergeCell ref="A6:J6"/>
    <mergeCell ref="C7:C8"/>
    <mergeCell ref="D7:D8"/>
    <mergeCell ref="A19:I19"/>
  </mergeCells>
  <pageMargins left="0.511811024" right="0.511811024" top="0.78740157499999996" bottom="0.78740157499999996" header="0.31496062000000002" footer="0.31496062000000002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DESCRIÇÃO ÁREAS</vt:lpstr>
      <vt:lpstr>RESUMO DA OBRA</vt:lpstr>
      <vt:lpstr>PLAN. ORÇ. COM DES.</vt:lpstr>
      <vt:lpstr>C.F.F.</vt:lpstr>
      <vt:lpstr>BDI COM DES.</vt:lpstr>
      <vt:lpstr>COMP. LAMA</vt:lpstr>
      <vt:lpstr>COMP. MOBILIZAÇÃO</vt:lpstr>
      <vt:lpstr>C.F.F.!Area_de_impressao</vt:lpstr>
      <vt:lpstr>'DESCRIÇÃO ÁREAS'!Area_de_impressao</vt:lpstr>
      <vt:lpstr>'PLAN. ORÇ. COM DES.'!Area_de_impressao</vt:lpstr>
      <vt:lpstr>'RESUMO DA OBRA'!Area_de_impressao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Otávio Menezes</dc:creator>
  <cp:lastModifiedBy>Estela</cp:lastModifiedBy>
  <cp:lastPrinted>2020-06-10T16:40:29Z</cp:lastPrinted>
  <dcterms:created xsi:type="dcterms:W3CDTF">2020-05-28T18:41:21Z</dcterms:created>
  <dcterms:modified xsi:type="dcterms:W3CDTF">2020-06-15T10:43:34Z</dcterms:modified>
</cp:coreProperties>
</file>